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defaultThemeVersion="124226"/>
  <mc:AlternateContent xmlns:mc="http://schemas.openxmlformats.org/markup-compatibility/2006">
    <mc:Choice Requires="x15">
      <x15ac:absPath xmlns:x15ac="http://schemas.microsoft.com/office/spreadsheetml/2010/11/ac" url="https://primestordev-my.sharepoint.com/personal/dsotelo_primestor_com/Documents/Desktop/"/>
    </mc:Choice>
  </mc:AlternateContent>
  <xr:revisionPtr revIDLastSave="126" documentId="8_{D2B8E110-5709-4B11-9C83-28499A24550A}" xr6:coauthVersionLast="47" xr6:coauthVersionMax="47" xr10:uidLastSave="{1E052E45-4E30-4D38-AE53-D5900E3DA618}"/>
  <bookViews>
    <workbookView xWindow="-96" yWindow="-96" windowWidth="23232" windowHeight="12432"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Points System" sheetId="6" r:id="rId7"/>
    <sheet name="Sources and Basis Breakdown" sheetId="18"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7">'Sources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7">'Sources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6"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7"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6"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7"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7"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6"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 r="I53" i="9" l="1"/>
  <c r="G53" i="9"/>
  <c r="E8" i="9"/>
  <c r="E4" i="9"/>
  <c r="A66" i="9"/>
  <c r="C33" i="9"/>
  <c r="E31" i="9"/>
  <c r="E30" i="9"/>
  <c r="E29" i="9"/>
  <c r="E28" i="9"/>
  <c r="E20" i="9"/>
  <c r="E19" i="9"/>
  <c r="E18" i="9"/>
  <c r="E17" i="9"/>
  <c r="E16" i="9"/>
  <c r="E15" i="9"/>
  <c r="C9" i="9"/>
  <c r="C7" i="9"/>
  <c r="G79" i="4"/>
  <c r="C79" i="4"/>
  <c r="S68" i="4" l="1"/>
  <c r="R10" i="4"/>
  <c r="S10" i="4"/>
  <c r="AC853" i="3"/>
  <c r="AC851" i="3"/>
  <c r="Y693" i="3"/>
  <c r="Y692" i="3"/>
  <c r="L276" i="3"/>
  <c r="C55" i="4"/>
  <c r="Q618" i="3"/>
  <c r="Q547" i="3"/>
  <c r="AF618" i="3"/>
  <c r="Q619" i="3"/>
  <c r="F101" i="18" l="1"/>
  <c r="F100" i="18"/>
  <c r="F99" i="18"/>
  <c r="F98" i="18"/>
  <c r="F97" i="18"/>
  <c r="F92" i="18"/>
  <c r="F91" i="18"/>
  <c r="F90" i="18"/>
  <c r="F89" i="18"/>
  <c r="F88" i="18"/>
  <c r="F87" i="18"/>
  <c r="F85" i="18"/>
  <c r="F84" i="18"/>
  <c r="F83" i="18"/>
  <c r="F82" i="18"/>
  <c r="F77" i="18"/>
  <c r="F66" i="18"/>
  <c r="F65" i="18"/>
  <c r="F63" i="18"/>
  <c r="F51" i="18"/>
  <c r="F50" i="18"/>
  <c r="F49" i="18"/>
  <c r="F48" i="18"/>
  <c r="F47" i="18"/>
  <c r="F46" i="18"/>
  <c r="F44" i="18"/>
  <c r="F42" i="18"/>
  <c r="F40" i="18"/>
  <c r="F39" i="18"/>
  <c r="F36" i="18"/>
  <c r="F35" i="18"/>
  <c r="F34" i="18"/>
  <c r="F33" i="18"/>
  <c r="F31" i="18"/>
  <c r="F30" i="18"/>
  <c r="F14" i="18"/>
  <c r="C101" i="18"/>
  <c r="C100" i="18"/>
  <c r="C99" i="18"/>
  <c r="C98" i="18"/>
  <c r="C97" i="18"/>
  <c r="C93" i="18"/>
  <c r="C92" i="18"/>
  <c r="C91" i="18"/>
  <c r="C90" i="18"/>
  <c r="C89" i="18"/>
  <c r="C88" i="18"/>
  <c r="C87" i="18"/>
  <c r="C86" i="18"/>
  <c r="C85" i="18"/>
  <c r="C84" i="18"/>
  <c r="C83" i="18"/>
  <c r="C82" i="18"/>
  <c r="C81" i="18"/>
  <c r="C77" i="18"/>
  <c r="C72" i="18"/>
  <c r="C71" i="18"/>
  <c r="C70" i="18"/>
  <c r="C67" i="18"/>
  <c r="C66" i="18"/>
  <c r="C65" i="18"/>
  <c r="C63" i="18"/>
  <c r="C59" i="18"/>
  <c r="C58" i="18"/>
  <c r="C57" i="18"/>
  <c r="C56" i="18"/>
  <c r="C55" i="18"/>
  <c r="C51" i="18"/>
  <c r="C50" i="18"/>
  <c r="C49" i="18"/>
  <c r="C48" i="18"/>
  <c r="C47" i="18"/>
  <c r="C46" i="18"/>
  <c r="C44" i="18"/>
  <c r="C40" i="18"/>
  <c r="C39" i="18"/>
  <c r="C36" i="18"/>
  <c r="C35" i="18"/>
  <c r="C34" i="18"/>
  <c r="C33" i="18"/>
  <c r="C31" i="18"/>
  <c r="C30" i="18"/>
  <c r="C15" i="18"/>
  <c r="C14" i="18"/>
  <c r="C13" i="18"/>
  <c r="C9" i="18"/>
  <c r="C7" i="18"/>
  <c r="C6" i="18"/>
  <c r="C4" i="18"/>
  <c r="S102" i="4"/>
  <c r="S98" i="4"/>
  <c r="R102" i="4"/>
  <c r="R101" i="4"/>
  <c r="S101" i="4" s="1"/>
  <c r="R100" i="4"/>
  <c r="S100" i="4" s="1"/>
  <c r="R99" i="4"/>
  <c r="S99" i="4" s="1"/>
  <c r="R98" i="4"/>
  <c r="R94" i="4"/>
  <c r="R93" i="4"/>
  <c r="R92" i="4"/>
  <c r="R91" i="4"/>
  <c r="R90" i="4"/>
  <c r="R89" i="4"/>
  <c r="R88" i="4"/>
  <c r="S93" i="4"/>
  <c r="S92" i="4"/>
  <c r="S91" i="4"/>
  <c r="S90" i="4"/>
  <c r="S89" i="4"/>
  <c r="S88" i="4"/>
  <c r="R87" i="4"/>
  <c r="R86" i="4"/>
  <c r="R85" i="4"/>
  <c r="S86" i="4"/>
  <c r="S85" i="4"/>
  <c r="S84" i="4"/>
  <c r="S83" i="4"/>
  <c r="S78" i="4"/>
  <c r="S67" i="4"/>
  <c r="S66" i="4"/>
  <c r="S64" i="4"/>
  <c r="S51" i="4"/>
  <c r="S50" i="4"/>
  <c r="S49" i="4"/>
  <c r="S45" i="4"/>
  <c r="S43" i="4"/>
  <c r="S41" i="4"/>
  <c r="S40" i="4"/>
  <c r="R37" i="4"/>
  <c r="S36" i="4"/>
  <c r="S35" i="4"/>
  <c r="S34" i="4"/>
  <c r="S32" i="4"/>
  <c r="S31" i="4"/>
  <c r="R36" i="4"/>
  <c r="R35" i="4"/>
  <c r="R34" i="4"/>
  <c r="R4" i="4"/>
  <c r="C94" i="4"/>
  <c r="C34" i="4"/>
  <c r="C49" i="4"/>
  <c r="E102" i="4"/>
  <c r="E101" i="4"/>
  <c r="E99" i="4"/>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E15" i="4"/>
  <c r="E14" i="4"/>
  <c r="E13" i="4"/>
  <c r="E10" i="4"/>
  <c r="E6" i="4"/>
  <c r="E5" i="4"/>
  <c r="E4" i="4"/>
  <c r="R33" i="4"/>
  <c r="S33" i="4" s="1"/>
  <c r="D90" i="25"/>
  <c r="E42" i="25"/>
  <c r="AO619" i="3"/>
  <c r="C619" i="3"/>
  <c r="T19" i="26" l="1"/>
  <c r="E9" i="9"/>
  <c r="AO650" i="6"/>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7" i="10"/>
  <c r="I7"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26" i="9"/>
  <c r="E27" i="9"/>
  <c r="E32" i="9"/>
  <c r="E33" i="9"/>
  <c r="AJ124" i="6"/>
  <c r="AD66" i="5"/>
  <c r="Y66" i="5"/>
  <c r="T25" i="5"/>
  <c r="AI7" i="5" s="1"/>
  <c r="AG434" i="3"/>
  <c r="AJ47" i="6"/>
  <c r="T696" i="6" s="1"/>
  <c r="AJ31" i="6"/>
  <c r="BJ525" i="6"/>
  <c r="Q581" i="6" s="1"/>
  <c r="W581" i="6" s="1"/>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4" i="3"/>
  <c r="AJ956" i="3"/>
  <c r="AJ959" i="3"/>
  <c r="AJ975" i="3"/>
  <c r="AJ979" i="3"/>
  <c r="AJ984" i="3"/>
  <c r="AG437" i="3"/>
  <c r="AO630" i="3"/>
  <c r="AB47" i="5" s="1"/>
  <c r="W811" i="3"/>
  <c r="W819" i="3"/>
  <c r="G17" i="9" s="1"/>
  <c r="I17" i="9" s="1"/>
  <c r="K17" i="9" s="1"/>
  <c r="M17" i="9" s="1"/>
  <c r="O17" i="9" s="1"/>
  <c r="Q17" i="9" s="1"/>
  <c r="S17" i="9" s="1"/>
  <c r="U17" i="9" s="1"/>
  <c r="W17" i="9" s="1"/>
  <c r="Y17" i="9" s="1"/>
  <c r="AA17" i="9" s="1"/>
  <c r="AC17" i="9" s="1"/>
  <c r="AE17" i="9" s="1"/>
  <c r="AG17" i="9" s="1"/>
  <c r="W826" i="3"/>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11"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I595" i="3"/>
  <c r="BI596" i="3"/>
  <c r="BI597" i="3"/>
  <c r="BK597" i="3" s="1"/>
  <c r="BI598" i="3"/>
  <c r="BK598" i="3" s="1"/>
  <c r="BI599" i="3"/>
  <c r="BK599" i="3" s="1"/>
  <c r="BI600" i="3"/>
  <c r="BI601" i="3"/>
  <c r="BK601" i="3" s="1"/>
  <c r="BI602" i="3"/>
  <c r="BK602" i="3" s="1"/>
  <c r="BI603" i="3"/>
  <c r="BI604" i="3"/>
  <c r="BI605" i="3"/>
  <c r="BI606" i="3"/>
  <c r="BK606" i="3" s="1"/>
  <c r="BI607" i="3"/>
  <c r="BK607" i="3" s="1"/>
  <c r="BI608" i="3"/>
  <c r="BK608" i="3" s="1"/>
  <c r="BI609" i="3"/>
  <c r="BK609" i="3" s="1"/>
  <c r="BI610" i="3"/>
  <c r="BK610" i="3" s="1"/>
  <c r="BI611" i="3"/>
  <c r="BK611" i="3" s="1"/>
  <c r="BI612" i="3"/>
  <c r="BI613" i="3"/>
  <c r="BI589" i="3"/>
  <c r="BK589" i="3" s="1"/>
  <c r="BE590" i="3"/>
  <c r="BE591" i="3"/>
  <c r="BE592" i="3"/>
  <c r="BG592" i="3" s="1"/>
  <c r="BE593" i="3"/>
  <c r="BG593" i="3" s="1"/>
  <c r="BE594" i="3"/>
  <c r="BG594" i="3" s="1"/>
  <c r="BE595" i="3"/>
  <c r="BE596" i="3"/>
  <c r="BE597" i="3"/>
  <c r="BG597" i="3" s="1"/>
  <c r="BE598" i="3"/>
  <c r="BG598" i="3" s="1"/>
  <c r="BE599" i="3"/>
  <c r="BE600" i="3"/>
  <c r="BE601" i="3"/>
  <c r="BG601" i="3" s="1"/>
  <c r="BE602" i="3"/>
  <c r="BE603" i="3"/>
  <c r="BG603" i="3" s="1"/>
  <c r="BE604" i="3"/>
  <c r="BG604" i="3" s="1"/>
  <c r="BE605" i="3"/>
  <c r="BE606" i="3"/>
  <c r="BG606" i="3" s="1"/>
  <c r="BE607" i="3"/>
  <c r="BE608" i="3"/>
  <c r="BG608" i="3" s="1"/>
  <c r="BE609" i="3"/>
  <c r="BG609" i="3" s="1"/>
  <c r="BE610" i="3"/>
  <c r="BG610" i="3" s="1"/>
  <c r="BE611" i="3"/>
  <c r="BG611" i="3" s="1"/>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s="1"/>
  <c r="D102" i="15"/>
  <c r="B103" i="15"/>
  <c r="C103" i="15"/>
  <c r="E103" i="15" s="1"/>
  <c r="D103" i="15"/>
  <c r="E100" i="15"/>
  <c r="D99" i="15"/>
  <c r="C99" i="15"/>
  <c r="B99" i="15"/>
  <c r="B84" i="15"/>
  <c r="E84" i="15" s="1"/>
  <c r="C84" i="15"/>
  <c r="D84" i="15"/>
  <c r="B85" i="15"/>
  <c r="C85" i="15"/>
  <c r="E85" i="15" s="1"/>
  <c r="D85" i="15"/>
  <c r="B86" i="15"/>
  <c r="C86" i="15"/>
  <c r="E86" i="15" s="1"/>
  <c r="D86" i="15"/>
  <c r="B87" i="15"/>
  <c r="C87" i="15"/>
  <c r="D87" i="15"/>
  <c r="B88" i="15"/>
  <c r="C88" i="15"/>
  <c r="D88" i="15"/>
  <c r="B89" i="15"/>
  <c r="C89" i="15"/>
  <c r="E89" i="15" s="1"/>
  <c r="D89" i="15"/>
  <c r="B90" i="15"/>
  <c r="C90" i="15"/>
  <c r="E90" i="15" s="1"/>
  <c r="D90" i="15"/>
  <c r="B91" i="15"/>
  <c r="E91" i="15" s="1"/>
  <c r="C91" i="15"/>
  <c r="D91" i="15"/>
  <c r="B92" i="15"/>
  <c r="E92" i="15" s="1"/>
  <c r="C92" i="15"/>
  <c r="D92" i="15"/>
  <c r="B93" i="15"/>
  <c r="C93" i="15"/>
  <c r="D93" i="15"/>
  <c r="B94" i="15"/>
  <c r="C94" i="15"/>
  <c r="D94" i="15"/>
  <c r="B95" i="15"/>
  <c r="C95" i="15"/>
  <c r="E95" i="15" s="1"/>
  <c r="D95" i="15"/>
  <c r="D83" i="15"/>
  <c r="C83" i="15"/>
  <c r="E83" i="15" s="1"/>
  <c r="B83" i="15"/>
  <c r="B80" i="15"/>
  <c r="C80" i="15"/>
  <c r="D80" i="15"/>
  <c r="D79" i="15"/>
  <c r="C79" i="15"/>
  <c r="E79" i="15" s="1"/>
  <c r="B79" i="15"/>
  <c r="B73" i="15"/>
  <c r="C73" i="15"/>
  <c r="D73" i="15"/>
  <c r="B74" i="15"/>
  <c r="E74" i="15"/>
  <c r="C74" i="15"/>
  <c r="D74" i="15"/>
  <c r="B75" i="15"/>
  <c r="C75" i="15"/>
  <c r="D75" i="15"/>
  <c r="B76" i="15"/>
  <c r="C76" i="15"/>
  <c r="E76" i="15" s="1"/>
  <c r="D76" i="15"/>
  <c r="D72" i="15"/>
  <c r="C72" i="15"/>
  <c r="B72" i="15"/>
  <c r="B66" i="15"/>
  <c r="C66" i="15"/>
  <c r="E66" i="15" s="1"/>
  <c r="D66" i="15"/>
  <c r="B67" i="15"/>
  <c r="C67" i="15"/>
  <c r="E67" i="15" s="1"/>
  <c r="D67" i="15"/>
  <c r="B68" i="15"/>
  <c r="C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E47" i="15" s="1"/>
  <c r="C47" i="15"/>
  <c r="D47" i="15"/>
  <c r="B48" i="15"/>
  <c r="C48" i="15"/>
  <c r="D48" i="15"/>
  <c r="B49" i="15"/>
  <c r="C49" i="15"/>
  <c r="E49" i="15" s="1"/>
  <c r="D49" i="15"/>
  <c r="B50" i="15"/>
  <c r="C50" i="15"/>
  <c r="D50" i="15"/>
  <c r="B51" i="15"/>
  <c r="E51" i="15" s="1"/>
  <c r="C51" i="15"/>
  <c r="D51" i="15"/>
  <c r="B52" i="15"/>
  <c r="E52" i="15" s="1"/>
  <c r="C52" i="15"/>
  <c r="D52" i="15"/>
  <c r="B53" i="15"/>
  <c r="C53" i="15"/>
  <c r="D53" i="15"/>
  <c r="D46" i="15"/>
  <c r="C46" i="15"/>
  <c r="E46" i="15" s="1"/>
  <c r="B46" i="15"/>
  <c r="B44" i="15"/>
  <c r="C44" i="15"/>
  <c r="D44" i="15"/>
  <c r="B42" i="15"/>
  <c r="C42" i="15"/>
  <c r="E42" i="15" s="1"/>
  <c r="D42" i="15"/>
  <c r="D41" i="15"/>
  <c r="C41" i="15"/>
  <c r="E41" i="15" s="1"/>
  <c r="B41" i="15"/>
  <c r="B38" i="15"/>
  <c r="C38" i="15"/>
  <c r="E38" i="15" s="1"/>
  <c r="D38" i="15"/>
  <c r="B31" i="15"/>
  <c r="C31" i="15"/>
  <c r="D31" i="15"/>
  <c r="B32" i="15"/>
  <c r="C32" i="15"/>
  <c r="E32" i="15" s="1"/>
  <c r="D32" i="15"/>
  <c r="B33" i="15"/>
  <c r="C33" i="15"/>
  <c r="E33" i="15" s="1"/>
  <c r="D33" i="15"/>
  <c r="B34" i="15"/>
  <c r="C34" i="15"/>
  <c r="D34" i="15"/>
  <c r="B35" i="15"/>
  <c r="C35" i="15"/>
  <c r="D35" i="15"/>
  <c r="B36" i="15"/>
  <c r="C36" i="15"/>
  <c r="E36" i="15" s="1"/>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E10" i="15" s="1"/>
  <c r="B11" i="15"/>
  <c r="C11" i="15"/>
  <c r="B14" i="15"/>
  <c r="C14" i="15"/>
  <c r="B15" i="15"/>
  <c r="C15" i="15"/>
  <c r="B16" i="15"/>
  <c r="C16" i="15"/>
  <c r="B18" i="15"/>
  <c r="C18" i="15"/>
  <c r="E18" i="15" s="1"/>
  <c r="C28" i="10"/>
  <c r="C5" i="10"/>
  <c r="H5" i="10" s="1"/>
  <c r="I5" i="10" s="1"/>
  <c r="C6" i="10"/>
  <c r="H6" i="10" s="1"/>
  <c r="I6" i="10" s="1"/>
  <c r="C7" i="10"/>
  <c r="C8" i="10"/>
  <c r="H8" i="10" s="1"/>
  <c r="C9" i="10"/>
  <c r="C10" i="10"/>
  <c r="C11" i="10"/>
  <c r="C12" i="10"/>
  <c r="C13" i="10"/>
  <c r="C14" i="10"/>
  <c r="C15" i="10"/>
  <c r="C16" i="10"/>
  <c r="C17" i="10"/>
  <c r="C18" i="10"/>
  <c r="C19" i="10"/>
  <c r="C20" i="10"/>
  <c r="C21" i="10"/>
  <c r="C22" i="10"/>
  <c r="C23" i="10"/>
  <c r="C24" i="10"/>
  <c r="C25" i="10"/>
  <c r="C26" i="10"/>
  <c r="C27" i="10"/>
  <c r="C4" i="10"/>
  <c r="H4" i="10" s="1"/>
  <c r="E25" i="15"/>
  <c r="E101" i="15"/>
  <c r="E53" i="15"/>
  <c r="E69" i="15"/>
  <c r="E73" i="15"/>
  <c r="E22" i="15"/>
  <c r="E87" i="15"/>
  <c r="E58" i="15"/>
  <c r="E16" i="15"/>
  <c r="E61" i="15"/>
  <c r="E57" i="15"/>
  <c r="E88" i="15"/>
  <c r="E44" i="15"/>
  <c r="E21" i="15"/>
  <c r="E28" i="15"/>
  <c r="E8" i="15"/>
  <c r="E48" i="15"/>
  <c r="E19" i="15"/>
  <c r="E72" i="15"/>
  <c r="E23" i="15"/>
  <c r="E65" i="15"/>
  <c r="E15"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5" i="18"/>
  <c r="E66" i="18"/>
  <c r="B64" i="18"/>
  <c r="C64" i="18" s="1"/>
  <c r="B65" i="18"/>
  <c r="B66" i="18"/>
  <c r="B101" i="4"/>
  <c r="R67" i="4"/>
  <c r="R66" i="4"/>
  <c r="R65" i="4"/>
  <c r="E64" i="18" s="1"/>
  <c r="B67" i="4"/>
  <c r="B66" i="4"/>
  <c r="B65" i="4"/>
  <c r="B36" i="4"/>
  <c r="B24" i="4"/>
  <c r="G58" i="9"/>
  <c r="K54" i="9"/>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18" s="1"/>
  <c r="C11" i="4"/>
  <c r="B11" i="4" s="1"/>
  <c r="C26" i="4"/>
  <c r="C27" i="15" s="1"/>
  <c r="C38" i="4"/>
  <c r="B38" i="4" s="1"/>
  <c r="C42" i="4"/>
  <c r="D43" i="15" s="1"/>
  <c r="C53" i="4"/>
  <c r="B52" i="18" s="1"/>
  <c r="C61" i="4"/>
  <c r="C62" i="15" s="1"/>
  <c r="C69" i="4"/>
  <c r="B69" i="4" s="1"/>
  <c r="C76" i="4"/>
  <c r="B75" i="18" s="1"/>
  <c r="C80" i="4"/>
  <c r="D81" i="15" s="1"/>
  <c r="C95" i="4"/>
  <c r="B94" i="18" s="1"/>
  <c r="C103" i="4"/>
  <c r="C104" i="15" s="1"/>
  <c r="C65" i="25"/>
  <c r="C66" i="25"/>
  <c r="Y20" i="5"/>
  <c r="Y22" i="5" s="1"/>
  <c r="AI20" i="5"/>
  <c r="AI22" i="5" s="1"/>
  <c r="S26" i="4"/>
  <c r="S42" i="4"/>
  <c r="S53" i="4"/>
  <c r="E52" i="18" s="1"/>
  <c r="S69" i="4"/>
  <c r="E68" i="18" s="1"/>
  <c r="S95" i="4"/>
  <c r="E94" i="18" s="1"/>
  <c r="S103" i="4"/>
  <c r="E102" i="18" s="1"/>
  <c r="F25" i="18"/>
  <c r="F41" i="18"/>
  <c r="F52" i="18"/>
  <c r="F68" i="18"/>
  <c r="F94" i="18"/>
  <c r="F102" i="18"/>
  <c r="T20" i="5"/>
  <c r="T22" i="5" s="1"/>
  <c r="T26" i="4"/>
  <c r="T38" i="4"/>
  <c r="T42" i="4"/>
  <c r="T53" i="4"/>
  <c r="T11" i="4"/>
  <c r="T69" i="4"/>
  <c r="H68" i="18"/>
  <c r="T80" i="4"/>
  <c r="H79" i="18"/>
  <c r="T95" i="4"/>
  <c r="T103" i="4"/>
  <c r="H102" i="18" s="1"/>
  <c r="I11" i="18"/>
  <c r="I25" i="18"/>
  <c r="I37" i="18"/>
  <c r="I41" i="18"/>
  <c r="I52" i="18"/>
  <c r="I68" i="18"/>
  <c r="I79" i="18"/>
  <c r="I94" i="18"/>
  <c r="I102" i="18"/>
  <c r="U61" i="25"/>
  <c r="U69" i="25" s="1"/>
  <c r="U63" i="25"/>
  <c r="U65" i="25"/>
  <c r="U67"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4" i="4"/>
  <c r="R75" i="4"/>
  <c r="E80" i="4"/>
  <c r="F80" i="4"/>
  <c r="G80" i="4"/>
  <c r="H80" i="4"/>
  <c r="G76" i="4"/>
  <c r="F76" i="4"/>
  <c r="E76" i="4"/>
  <c r="B78" i="18"/>
  <c r="C78" i="18" s="1"/>
  <c r="F78" i="18" s="1"/>
  <c r="F79" i="18" s="1"/>
  <c r="H78" i="18"/>
  <c r="B79" i="4"/>
  <c r="B78" i="4"/>
  <c r="R79" i="4"/>
  <c r="S79" i="4" s="1"/>
  <c r="S80" i="4" s="1"/>
  <c r="E79" i="18" s="1"/>
  <c r="R78" i="4"/>
  <c r="B102" i="4"/>
  <c r="G25" i="18"/>
  <c r="G37" i="18"/>
  <c r="G61" i="18" s="1"/>
  <c r="G95" i="18" s="1"/>
  <c r="G103" i="18" s="1"/>
  <c r="G105" i="18" s="1"/>
  <c r="G41" i="18"/>
  <c r="G52" i="18"/>
  <c r="G68" i="18"/>
  <c r="G94" i="18"/>
  <c r="G102" i="18"/>
  <c r="A5" i="10"/>
  <c r="F5" i="10"/>
  <c r="A6" i="10"/>
  <c r="F6" i="10"/>
  <c r="A7" i="10"/>
  <c r="B7" i="10"/>
  <c r="F7" i="10" s="1"/>
  <c r="A8" i="10"/>
  <c r="F8" i="10"/>
  <c r="A9" i="10"/>
  <c r="F9" i="10"/>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92" i="18"/>
  <c r="A93" i="18"/>
  <c r="A91" i="18"/>
  <c r="A74" i="18"/>
  <c r="A67" i="18"/>
  <c r="A59" i="18"/>
  <c r="A51" i="18"/>
  <c r="A36" i="18"/>
  <c r="A24" i="18"/>
  <c r="AB47" i="27"/>
  <c r="W574" i="6"/>
  <c r="B5" i="18"/>
  <c r="C5" i="18" s="1"/>
  <c r="C8" i="18" s="1"/>
  <c r="B6" i="18"/>
  <c r="B7" i="18"/>
  <c r="B9" i="18"/>
  <c r="B10" i="18"/>
  <c r="C10" i="18" s="1"/>
  <c r="F10" i="18" s="1"/>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4" i="18"/>
  <c r="E42" i="18"/>
  <c r="E40" i="18"/>
  <c r="E39" i="18"/>
  <c r="E36" i="18"/>
  <c r="E34" i="18"/>
  <c r="E33" i="18"/>
  <c r="E32" i="18"/>
  <c r="E31" i="18"/>
  <c r="E30" i="18"/>
  <c r="E28" i="18"/>
  <c r="E26" i="18"/>
  <c r="E24" i="18"/>
  <c r="E23" i="18"/>
  <c r="E22" i="18"/>
  <c r="E21" i="18"/>
  <c r="E20" i="18"/>
  <c r="E19" i="18"/>
  <c r="E18" i="18"/>
  <c r="E17" i="18"/>
  <c r="E14" i="18"/>
  <c r="E15" i="18"/>
  <c r="E13" i="18"/>
  <c r="F13" i="18" s="1"/>
  <c r="E10" i="18"/>
  <c r="B101" i="18"/>
  <c r="B100" i="18"/>
  <c r="B99" i="18"/>
  <c r="B98" i="18"/>
  <c r="B97" i="18"/>
  <c r="B93" i="18"/>
  <c r="B92" i="18"/>
  <c r="B91" i="18"/>
  <c r="B90" i="18"/>
  <c r="B89" i="18"/>
  <c r="B88" i="18"/>
  <c r="B87" i="18"/>
  <c r="B86" i="18"/>
  <c r="B85" i="18"/>
  <c r="B84" i="18"/>
  <c r="B83" i="18"/>
  <c r="B82" i="18"/>
  <c r="B81" i="18"/>
  <c r="B77" i="18"/>
  <c r="B74" i="18"/>
  <c r="C74" i="18" s="1"/>
  <c r="B73" i="18"/>
  <c r="C73" i="18" s="1"/>
  <c r="C75" i="18" s="1"/>
  <c r="B72" i="18"/>
  <c r="B71" i="18"/>
  <c r="B70" i="18"/>
  <c r="B67" i="18"/>
  <c r="B63" i="18"/>
  <c r="B59" i="18"/>
  <c r="B58" i="18"/>
  <c r="B57" i="18"/>
  <c r="B56" i="18"/>
  <c r="B55" i="18"/>
  <c r="B54" i="18"/>
  <c r="C54" i="18" s="1"/>
  <c r="C60" i="18" s="1"/>
  <c r="B51" i="18"/>
  <c r="B50" i="18"/>
  <c r="B49" i="18"/>
  <c r="B48" i="18"/>
  <c r="B47" i="18"/>
  <c r="B46" i="18"/>
  <c r="B45" i="18"/>
  <c r="C45" i="18" s="1"/>
  <c r="F45" i="18" s="1"/>
  <c r="B44" i="18"/>
  <c r="B42" i="18"/>
  <c r="B40" i="18"/>
  <c r="B39" i="18"/>
  <c r="B36" i="18"/>
  <c r="B34" i="18"/>
  <c r="B33" i="18"/>
  <c r="B32" i="18"/>
  <c r="C32" i="18" s="1"/>
  <c r="F32" i="18" s="1"/>
  <c r="B31" i="18"/>
  <c r="B30" i="18"/>
  <c r="B29" i="18"/>
  <c r="C29" i="18" s="1"/>
  <c r="F29" i="18" s="1"/>
  <c r="B28" i="18"/>
  <c r="C28" i="18" s="1"/>
  <c r="F28" i="18" s="1"/>
  <c r="B26" i="18"/>
  <c r="B24" i="18"/>
  <c r="B23" i="18"/>
  <c r="B22" i="18"/>
  <c r="B21" i="18"/>
  <c r="B20" i="18"/>
  <c r="B19" i="18"/>
  <c r="B18" i="18"/>
  <c r="B17" i="18"/>
  <c r="B4" i="18"/>
  <c r="D102" i="18"/>
  <c r="C102" i="18"/>
  <c r="D94" i="18"/>
  <c r="C94" i="18"/>
  <c r="D75" i="18"/>
  <c r="D68" i="18"/>
  <c r="C68" i="18"/>
  <c r="D60" i="18"/>
  <c r="D52" i="18"/>
  <c r="C52" i="18"/>
  <c r="D41" i="18"/>
  <c r="C41" i="18"/>
  <c r="D37" i="18"/>
  <c r="C37" i="18"/>
  <c r="D25" i="18"/>
  <c r="C25" i="18"/>
  <c r="D11" i="18"/>
  <c r="D8" i="18"/>
  <c r="AG514" i="6"/>
  <c r="AO648" i="6"/>
  <c r="AO647" i="6"/>
  <c r="AO646" i="6"/>
  <c r="AO645" i="6"/>
  <c r="AJ268" i="6"/>
  <c r="AJ253" i="6"/>
  <c r="AJ241" i="6"/>
  <c r="AJ227" i="6"/>
  <c r="AJ215" i="6"/>
  <c r="AJ203" i="6"/>
  <c r="AJ184" i="6"/>
  <c r="AJ139" i="6"/>
  <c r="AK68" i="6"/>
  <c r="T697" i="6" s="1"/>
  <c r="AF697" i="6" s="1"/>
  <c r="AG521" i="6"/>
  <c r="AG517" i="6"/>
  <c r="AG510" i="6"/>
  <c r="AG505" i="6"/>
  <c r="AG482" i="6"/>
  <c r="R82" i="4"/>
  <c r="R84" i="4"/>
  <c r="R57" i="4"/>
  <c r="R51" i="4"/>
  <c r="R50" i="4"/>
  <c r="R49" i="4"/>
  <c r="R46" i="4"/>
  <c r="S46" i="4" s="1"/>
  <c r="E45" i="18" s="1"/>
  <c r="R45" i="4"/>
  <c r="R43" i="4"/>
  <c r="R41" i="4"/>
  <c r="R40" i="4"/>
  <c r="R32" i="4"/>
  <c r="R30" i="4"/>
  <c r="S30" i="4" s="1"/>
  <c r="E29" i="18" s="1"/>
  <c r="R31" i="4"/>
  <c r="R29" i="4"/>
  <c r="S29" i="4" s="1"/>
  <c r="R13" i="4"/>
  <c r="R6" i="4"/>
  <c r="D5" i="15"/>
  <c r="D6" i="15"/>
  <c r="D7" i="15"/>
  <c r="D8" i="15"/>
  <c r="D10" i="15"/>
  <c r="D11" i="15"/>
  <c r="D14" i="15"/>
  <c r="D15" i="15"/>
  <c r="D16" i="15"/>
  <c r="D18" i="15"/>
  <c r="E41" i="18"/>
  <c r="H25" i="18"/>
  <c r="H37" i="18"/>
  <c r="H52" i="18"/>
  <c r="H94"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B100" i="4"/>
  <c r="I103" i="4"/>
  <c r="J103" i="4"/>
  <c r="K103" i="4"/>
  <c r="L103" i="4"/>
  <c r="N103" i="4"/>
  <c r="P103" i="4"/>
  <c r="B131" i="4"/>
  <c r="I184" i="3"/>
  <c r="W411" i="3"/>
  <c r="AF411" i="3" s="1"/>
  <c r="G560" i="3"/>
  <c r="Z560" i="3"/>
  <c r="G568" i="3"/>
  <c r="Z568" i="3"/>
  <c r="G576" i="3"/>
  <c r="Z576" i="3"/>
  <c r="G584" i="3"/>
  <c r="Z584" i="3"/>
  <c r="BG590" i="3"/>
  <c r="BG591" i="3"/>
  <c r="BK591" i="3"/>
  <c r="G592" i="3"/>
  <c r="Z592" i="3"/>
  <c r="BK594" i="3"/>
  <c r="BG595" i="3"/>
  <c r="BK595" i="3"/>
  <c r="BG596" i="3"/>
  <c r="BK596" i="3"/>
  <c r="BG599" i="3"/>
  <c r="BG600" i="3"/>
  <c r="BK600" i="3"/>
  <c r="G600" i="3"/>
  <c r="Z600" i="3"/>
  <c r="BG602" i="3"/>
  <c r="BK603" i="3"/>
  <c r="BK604" i="3"/>
  <c r="BG605" i="3"/>
  <c r="BK605" i="3"/>
  <c r="BG607"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E25" i="18"/>
  <c r="D12" i="4"/>
  <c r="G12" i="4"/>
  <c r="F12" i="4"/>
  <c r="T62" i="4"/>
  <c r="T96" i="4" s="1"/>
  <c r="G52" i="25"/>
  <c r="AM695" i="3"/>
  <c r="AM704" i="3"/>
  <c r="AM703" i="3"/>
  <c r="AM702" i="3"/>
  <c r="AM701" i="3"/>
  <c r="AM696" i="3"/>
  <c r="AM700" i="3"/>
  <c r="AM699" i="3"/>
  <c r="AM698" i="3"/>
  <c r="AM697" i="3"/>
  <c r="AB47" i="26"/>
  <c r="I61" i="18"/>
  <c r="I95" i="18"/>
  <c r="I103" i="18"/>
  <c r="I105" i="18"/>
  <c r="J61" i="18"/>
  <c r="J95" i="18"/>
  <c r="J103" i="18"/>
  <c r="J105" i="18"/>
  <c r="K12" i="4"/>
  <c r="J12" i="4"/>
  <c r="R8" i="4"/>
  <c r="M62" i="4"/>
  <c r="M96" i="4"/>
  <c r="M104" i="4"/>
  <c r="J62" i="4"/>
  <c r="J96" i="4"/>
  <c r="J104" i="4"/>
  <c r="F62" i="4"/>
  <c r="O62" i="4"/>
  <c r="O96" i="4"/>
  <c r="O104" i="4"/>
  <c r="N62" i="4"/>
  <c r="N96" i="4"/>
  <c r="N104" i="4"/>
  <c r="D62" i="4"/>
  <c r="D96" i="4"/>
  <c r="D104" i="4"/>
  <c r="R26" i="4"/>
  <c r="L62" i="4"/>
  <c r="L96" i="4"/>
  <c r="L104" i="4"/>
  <c r="H12" i="4"/>
  <c r="H11" i="18"/>
  <c r="Q62" i="4"/>
  <c r="Q96" i="4"/>
  <c r="Q104" i="4"/>
  <c r="K62" i="4"/>
  <c r="K96" i="4"/>
  <c r="K104" i="4"/>
  <c r="I62" i="4"/>
  <c r="I96" i="4"/>
  <c r="I104" i="4"/>
  <c r="H62" i="4"/>
  <c r="H96" i="4"/>
  <c r="M12" i="4"/>
  <c r="D12" i="18"/>
  <c r="P62" i="4"/>
  <c r="P96" i="4"/>
  <c r="P104" i="4"/>
  <c r="D61" i="18"/>
  <c r="D95" i="18" s="1"/>
  <c r="D103" i="18" s="1"/>
  <c r="S28" i="9"/>
  <c r="AC28" i="9"/>
  <c r="G19" i="9"/>
  <c r="I19" i="9" s="1"/>
  <c r="K19" i="9" s="1"/>
  <c r="M19" i="9" s="1"/>
  <c r="O19" i="9" s="1"/>
  <c r="Q19" i="9" s="1"/>
  <c r="S19" i="9" s="1"/>
  <c r="U19" i="9" s="1"/>
  <c r="W19" i="9" s="1"/>
  <c r="Y19" i="9" s="1"/>
  <c r="AA19" i="9" s="1"/>
  <c r="AC19" i="9" s="1"/>
  <c r="AE19" i="9" s="1"/>
  <c r="AG19" i="9" s="1"/>
  <c r="T24" i="27"/>
  <c r="T24" i="26"/>
  <c r="O29" i="9"/>
  <c r="Q580" i="6"/>
  <c r="W580" i="6" s="1"/>
  <c r="S38" i="4" l="1"/>
  <c r="E37" i="18" s="1"/>
  <c r="G62" i="4"/>
  <c r="G96" i="4" s="1"/>
  <c r="G104" i="4" s="1"/>
  <c r="D9" i="15"/>
  <c r="B9" i="15"/>
  <c r="E6" i="15"/>
  <c r="AI22" i="26"/>
  <c r="F37" i="18"/>
  <c r="F61" i="18" s="1"/>
  <c r="F95" i="18" s="1"/>
  <c r="F103" i="18" s="1"/>
  <c r="F105" i="18" s="1"/>
  <c r="E11" i="15"/>
  <c r="C11" i="18"/>
  <c r="AM693" i="3"/>
  <c r="F96" i="4"/>
  <c r="F104" i="4" s="1"/>
  <c r="E56" i="15"/>
  <c r="C79" i="18"/>
  <c r="B81" i="15"/>
  <c r="E78" i="18"/>
  <c r="B79" i="18"/>
  <c r="R935" i="3"/>
  <c r="AM692" i="3"/>
  <c r="AO632" i="3"/>
  <c r="E100" i="4"/>
  <c r="E103" i="4" s="1"/>
  <c r="G103" i="4"/>
  <c r="E80" i="15"/>
  <c r="E50" i="15"/>
  <c r="R103" i="4"/>
  <c r="H103" i="4"/>
  <c r="H104" i="4" s="1"/>
  <c r="R76" i="4"/>
  <c r="R42" i="4"/>
  <c r="E31" i="15"/>
  <c r="AO651" i="6"/>
  <c r="AK684" i="6" s="1"/>
  <c r="T706" i="6" s="1"/>
  <c r="C12" i="18"/>
  <c r="E94" i="15"/>
  <c r="E68" i="15"/>
  <c r="B8" i="4"/>
  <c r="B12" i="4" s="1"/>
  <c r="D27" i="15"/>
  <c r="B27" i="15"/>
  <c r="E27" i="15" s="1"/>
  <c r="B26" i="4"/>
  <c r="B25" i="18"/>
  <c r="E35" i="15"/>
  <c r="E34" i="15"/>
  <c r="E30" i="15"/>
  <c r="D12" i="15"/>
  <c r="D13" i="15" s="1"/>
  <c r="B102" i="18"/>
  <c r="E99" i="15"/>
  <c r="R95" i="4"/>
  <c r="E93" i="15"/>
  <c r="B77" i="15"/>
  <c r="E75" i="15"/>
  <c r="R69" i="4"/>
  <c r="B70" i="15"/>
  <c r="B68" i="18"/>
  <c r="C70" i="15"/>
  <c r="D70" i="15"/>
  <c r="R53" i="4"/>
  <c r="C9" i="15"/>
  <c r="E9" i="15" s="1"/>
  <c r="E7" i="15"/>
  <c r="CM620" i="3"/>
  <c r="I8" i="10"/>
  <c r="I4" i="10"/>
  <c r="T7" i="5"/>
  <c r="AP378" i="6"/>
  <c r="AQ378" i="6" s="1"/>
  <c r="C61" i="18"/>
  <c r="E12" i="4"/>
  <c r="C12" i="15"/>
  <c r="B12" i="15"/>
  <c r="B13" i="15" s="1"/>
  <c r="H95" i="18"/>
  <c r="T104" i="4"/>
  <c r="H103" i="18" s="1"/>
  <c r="H61" i="18"/>
  <c r="S62" i="4"/>
  <c r="S96" i="4" s="1"/>
  <c r="E95" i="18" s="1"/>
  <c r="B96" i="15"/>
  <c r="B95" i="4"/>
  <c r="D96" i="15"/>
  <c r="C96" i="15"/>
  <c r="R80" i="4"/>
  <c r="C81" i="15"/>
  <c r="B80" i="4"/>
  <c r="D77" i="15"/>
  <c r="C77" i="15"/>
  <c r="E77" i="15" s="1"/>
  <c r="B76" i="4"/>
  <c r="B61" i="4"/>
  <c r="B62" i="15"/>
  <c r="E62" i="15" s="1"/>
  <c r="D62" i="15"/>
  <c r="B60" i="18"/>
  <c r="D54" i="15"/>
  <c r="B53" i="4"/>
  <c r="C54" i="15"/>
  <c r="B54" i="15"/>
  <c r="R38" i="4"/>
  <c r="B41" i="18"/>
  <c r="B42" i="4"/>
  <c r="C43" i="15"/>
  <c r="B43" i="15"/>
  <c r="B37" i="18"/>
  <c r="B39" i="15"/>
  <c r="D39" i="15"/>
  <c r="C39" i="15"/>
  <c r="E62" i="4"/>
  <c r="E96" i="4" s="1"/>
  <c r="E104" i="4" s="1"/>
  <c r="E14" i="15"/>
  <c r="C62" i="4"/>
  <c r="C96" i="4" s="1"/>
  <c r="B97" i="15" s="1"/>
  <c r="C12" i="4"/>
  <c r="B12" i="18" s="1"/>
  <c r="R12" i="4"/>
  <c r="B11" i="18"/>
  <c r="E5" i="15"/>
  <c r="AC847" i="3"/>
  <c r="AC850" i="3" s="1"/>
  <c r="AC742" i="3"/>
  <c r="CH620" i="3"/>
  <c r="G67" i="25"/>
  <c r="C67" i="25" s="1"/>
  <c r="G20" i="9"/>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G15" i="9"/>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L29" i="28" s="1"/>
  <c r="V29" i="28" s="1"/>
  <c r="AZ260" i="3"/>
  <c r="BO245" i="3" s="1"/>
  <c r="T269" i="3" s="1"/>
  <c r="R936"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AD67" i="5" s="1"/>
  <c r="B103" i="4"/>
  <c r="D104" i="15"/>
  <c r="B104" i="15"/>
  <c r="E104" i="15" s="1"/>
  <c r="U29" i="9"/>
  <c r="AE29" i="9"/>
  <c r="AK61" i="6"/>
  <c r="G29" i="9"/>
  <c r="W29" i="9"/>
  <c r="AA29" i="9"/>
  <c r="I29" i="9"/>
  <c r="S29" i="9"/>
  <c r="Y29" i="9"/>
  <c r="K29" i="9"/>
  <c r="M29" i="9"/>
  <c r="Q29" i="9"/>
  <c r="AC29" i="9"/>
  <c r="Y40" i="9"/>
  <c r="Y43" i="9" s="1"/>
  <c r="O40" i="9"/>
  <c r="O43" i="9" s="1"/>
  <c r="AA40" i="9"/>
  <c r="AA43" i="9" s="1"/>
  <c r="F30" i="10"/>
  <c r="L908" i="3" s="1"/>
  <c r="L909" i="3" s="1"/>
  <c r="AG40" i="9"/>
  <c r="AG43" i="9" s="1"/>
  <c r="K40" i="9"/>
  <c r="K43" i="9" s="1"/>
  <c r="I40" i="9"/>
  <c r="I43" i="9" s="1"/>
  <c r="G40" i="9"/>
  <c r="G43" i="9" s="1"/>
  <c r="M40" i="9"/>
  <c r="M43" i="9" s="1"/>
  <c r="AE40" i="9"/>
  <c r="AE43" i="9" s="1"/>
  <c r="Q40" i="9"/>
  <c r="Q43" i="9" s="1"/>
  <c r="AC40" i="9"/>
  <c r="AC43" i="9" s="1"/>
  <c r="E43" i="9"/>
  <c r="I16" i="9"/>
  <c r="T695" i="6"/>
  <c r="Y7" i="5"/>
  <c r="G8" i="9"/>
  <c r="C95" i="18" l="1"/>
  <c r="C103" i="18" s="1"/>
  <c r="E81" i="15"/>
  <c r="BN638" i="3"/>
  <c r="AB933" i="3" s="1"/>
  <c r="AJ933" i="3" s="1"/>
  <c r="E39" i="15"/>
  <c r="E70" i="15"/>
  <c r="R62" i="4"/>
  <c r="R96" i="4" s="1"/>
  <c r="R104" i="4" s="1"/>
  <c r="C13" i="15"/>
  <c r="E13" i="15" s="1"/>
  <c r="CH638" i="3"/>
  <c r="I30" i="10"/>
  <c r="CS620" i="3"/>
  <c r="Y764" i="3"/>
  <c r="CG614" i="3"/>
  <c r="BH683" i="3"/>
  <c r="BI683" i="3" s="1"/>
  <c r="BH684" i="3"/>
  <c r="BI684" i="3" s="1"/>
  <c r="BH676" i="3"/>
  <c r="BI676" i="3" s="1"/>
  <c r="BH697" i="3"/>
  <c r="BI697" i="3" s="1"/>
  <c r="BH693" i="3"/>
  <c r="BI693" i="3" s="1"/>
  <c r="BH707" i="3"/>
  <c r="BI707" i="3" s="1"/>
  <c r="BH681" i="3"/>
  <c r="BI681" i="3" s="1"/>
  <c r="BH710" i="3"/>
  <c r="BI710" i="3" s="1"/>
  <c r="BH690" i="3"/>
  <c r="BI690" i="3" s="1"/>
  <c r="BH692" i="3"/>
  <c r="BI692" i="3" s="1"/>
  <c r="BH685" i="3"/>
  <c r="BI685" i="3" s="1"/>
  <c r="BH691" i="3"/>
  <c r="BI691" i="3" s="1"/>
  <c r="BH688" i="3"/>
  <c r="BI688" i="3" s="1"/>
  <c r="BH730" i="3"/>
  <c r="BI730" i="3" s="1"/>
  <c r="BH678" i="3"/>
  <c r="BI678" i="3" s="1"/>
  <c r="BH712" i="3"/>
  <c r="BI712" i="3" s="1"/>
  <c r="BH682" i="3"/>
  <c r="BI682" i="3" s="1"/>
  <c r="BH715" i="3"/>
  <c r="BI715" i="3" s="1"/>
  <c r="BH700" i="3"/>
  <c r="BI700" i="3" s="1"/>
  <c r="BH696" i="3"/>
  <c r="BI696" i="3" s="1"/>
  <c r="BH709" i="3"/>
  <c r="BI709" i="3" s="1"/>
  <c r="BH695" i="3"/>
  <c r="BI695" i="3" s="1"/>
  <c r="O605" i="6"/>
  <c r="AU569" i="6" s="1"/>
  <c r="BH687" i="3"/>
  <c r="BI687" i="3" s="1"/>
  <c r="Y765" i="3"/>
  <c r="BH680" i="3"/>
  <c r="BI680" i="3" s="1"/>
  <c r="BH726" i="3"/>
  <c r="BI726" i="3" s="1"/>
  <c r="BH699" i="3"/>
  <c r="BI699" i="3" s="1"/>
  <c r="CM638" i="3"/>
  <c r="L28" i="28"/>
  <c r="V28" i="28" s="1"/>
  <c r="O606" i="6"/>
  <c r="AU570" i="6" s="1"/>
  <c r="CB614" i="3"/>
  <c r="L30" i="28"/>
  <c r="V30" i="28" s="1"/>
  <c r="AS354" i="6"/>
  <c r="AK471" i="6" s="1"/>
  <c r="T700" i="6" s="1"/>
  <c r="I58" i="9"/>
  <c r="K53" i="9"/>
  <c r="E12" i="15"/>
  <c r="T106" i="4"/>
  <c r="H105" i="18" s="1"/>
  <c r="AD11" i="27"/>
  <c r="AD23" i="27" s="1"/>
  <c r="AD26" i="27" s="1"/>
  <c r="S104" i="4"/>
  <c r="S106" i="4" s="1"/>
  <c r="E61" i="18"/>
  <c r="E96" i="15"/>
  <c r="E54" i="15"/>
  <c r="E43" i="15"/>
  <c r="B61" i="18"/>
  <c r="B63" i="15"/>
  <c r="C63" i="15"/>
  <c r="D63" i="15"/>
  <c r="C104" i="4"/>
  <c r="AC448" i="3" s="1"/>
  <c r="B62" i="4"/>
  <c r="D97" i="15"/>
  <c r="B95" i="18"/>
  <c r="C97" i="15"/>
  <c r="E97" i="15" s="1"/>
  <c r="B96" i="4"/>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G4" i="9"/>
  <c r="I4" i="9" s="1"/>
  <c r="I5" i="9" s="1"/>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7" i="6"/>
  <c r="BE571" i="6" s="1"/>
  <c r="AP581" i="6" s="1"/>
  <c r="BQ524" i="6"/>
  <c r="BQ528" i="6" s="1"/>
  <c r="BY526" i="6"/>
  <c r="BY528" i="6" s="1"/>
  <c r="Y608" i="6"/>
  <c r="CH546" i="6" s="1"/>
  <c r="L26" i="28"/>
  <c r="V26" i="28" s="1"/>
  <c r="O609" i="6"/>
  <c r="AU573" i="6" s="1"/>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S15" i="9"/>
  <c r="M32" i="9"/>
  <c r="I8" i="9"/>
  <c r="G9" i="9"/>
  <c r="Z773" i="3" l="1"/>
  <c r="E6" i="9"/>
  <c r="AB937" i="3"/>
  <c r="AJ937" i="3" s="1"/>
  <c r="AI11" i="27"/>
  <c r="AI23" i="27" s="1"/>
  <c r="AI26" i="27" s="1"/>
  <c r="AI11" i="5"/>
  <c r="AI23" i="5" s="1"/>
  <c r="AI26" i="5" s="1"/>
  <c r="AI28" i="5" s="1"/>
  <c r="AD11" i="5"/>
  <c r="AD23" i="5" s="1"/>
  <c r="AD26" i="5" s="1"/>
  <c r="AD28" i="5" s="1"/>
  <c r="AI11" i="26"/>
  <c r="AI23" i="26" s="1"/>
  <c r="AI26" i="26" s="1"/>
  <c r="AI28" i="26" s="1"/>
  <c r="AD63" i="26" s="1"/>
  <c r="AD11" i="26"/>
  <c r="AD23" i="26" s="1"/>
  <c r="AD26" i="26" s="1"/>
  <c r="AD28" i="26" s="1"/>
  <c r="BI732" i="3"/>
  <c r="AM717" i="3" s="1"/>
  <c r="Z782" i="3"/>
  <c r="Y609" i="6"/>
  <c r="CH547" i="6" s="1"/>
  <c r="BI701" i="3"/>
  <c r="AH717" i="3" s="1"/>
  <c r="BH701" i="3"/>
  <c r="BH732" i="3"/>
  <c r="AD28" i="27"/>
  <c r="AI28" i="27"/>
  <c r="AD63" i="27" s="1"/>
  <c r="K58" i="9"/>
  <c r="M53" i="9"/>
  <c r="E103" i="18"/>
  <c r="E105" i="18"/>
  <c r="Y11" i="5" s="1"/>
  <c r="Y23" i="5" s="1"/>
  <c r="Y26" i="5" s="1"/>
  <c r="Y28" i="5" s="1"/>
  <c r="AC449" i="3"/>
  <c r="X992" i="3"/>
  <c r="E63" i="15"/>
  <c r="B103" i="18"/>
  <c r="B104" i="4"/>
  <c r="B105" i="15"/>
  <c r="C105" i="15"/>
  <c r="D105" i="15"/>
  <c r="AO691" i="6"/>
  <c r="G5" i="9"/>
  <c r="K4" i="9"/>
  <c r="M4" i="9" s="1"/>
  <c r="O4" i="9" s="1"/>
  <c r="AC589" i="6"/>
  <c r="CQ615" i="3"/>
  <c r="O720" i="3" s="1"/>
  <c r="CH545" i="6"/>
  <c r="BW525" i="6"/>
  <c r="BW528" i="6" s="1"/>
  <c r="BU529" i="6" s="1"/>
  <c r="BQ529" i="6"/>
  <c r="BO569" i="6"/>
  <c r="BO574" i="6" s="1"/>
  <c r="BH580" i="6"/>
  <c r="BH585" i="6" s="1"/>
  <c r="AY538" i="6"/>
  <c r="BF562" i="6"/>
  <c r="BK565" i="6" s="1"/>
  <c r="AU543" i="6" s="1"/>
  <c r="AX543" i="6" s="1"/>
  <c r="O610" i="6"/>
  <c r="CA526" i="6"/>
  <c r="CA528" i="6" s="1"/>
  <c r="BY529" i="6" s="1"/>
  <c r="BE572" i="6"/>
  <c r="AP582" i="6" s="1"/>
  <c r="BD580" i="6"/>
  <c r="BD585" i="6" s="1"/>
  <c r="BP580" i="6"/>
  <c r="AJ939" i="3"/>
  <c r="BB581" i="6"/>
  <c r="BB585" i="6" s="1"/>
  <c r="V27" i="28"/>
  <c r="V31" i="28" s="1"/>
  <c r="L31" i="28"/>
  <c r="BJ583" i="6"/>
  <c r="BJ585" i="6" s="1"/>
  <c r="AB938" i="3"/>
  <c r="CH543" i="6"/>
  <c r="BE542" i="6" s="1"/>
  <c r="BI543" i="6" s="1"/>
  <c r="BO523" i="6"/>
  <c r="BO528" i="6" s="1"/>
  <c r="BM529" i="6" s="1"/>
  <c r="BF582" i="6"/>
  <c r="BF585" i="6" s="1"/>
  <c r="BL580" i="6"/>
  <c r="BL581" i="6"/>
  <c r="BP581" i="6"/>
  <c r="BL582" i="6"/>
  <c r="AF694" i="6"/>
  <c r="E7" i="9"/>
  <c r="E11" i="9" s="1"/>
  <c r="E37" i="9" s="1"/>
  <c r="G6" i="9"/>
  <c r="M16" i="9"/>
  <c r="K22" i="9"/>
  <c r="K35" i="9" s="1"/>
  <c r="U15" i="9"/>
  <c r="O32" i="9"/>
  <c r="I9" i="9"/>
  <c r="K8" i="9"/>
  <c r="AB46" i="5" l="1"/>
  <c r="AB48" i="5" s="1"/>
  <c r="AB53" i="5" s="1"/>
  <c r="AB54" i="5" s="1"/>
  <c r="A101" i="18"/>
  <c r="AU530" i="6"/>
  <c r="AU531" i="6"/>
  <c r="AU534" i="6"/>
  <c r="AU533" i="6"/>
  <c r="E45" i="9"/>
  <c r="E60" i="9" s="1"/>
  <c r="E66" i="9" s="1"/>
  <c r="E70" i="9" s="1"/>
  <c r="E49" i="9"/>
  <c r="AJ941" i="3"/>
  <c r="AJ950" i="3"/>
  <c r="AJ972" i="3"/>
  <c r="AU532" i="6"/>
  <c r="BE573" i="6"/>
  <c r="AP583" i="6" s="1"/>
  <c r="CE527" i="6"/>
  <c r="CE528" i="6" s="1"/>
  <c r="CC529" i="6" s="1"/>
  <c r="CC530" i="6" s="1"/>
  <c r="P414" i="3"/>
  <c r="CQ636" i="3"/>
  <c r="U367" i="6" s="1"/>
  <c r="AO689" i="6"/>
  <c r="T698" i="6" s="1"/>
  <c r="AF698" i="6" s="1"/>
  <c r="O53" i="9"/>
  <c r="M58" i="9"/>
  <c r="T11" i="27"/>
  <c r="T23" i="27" s="1"/>
  <c r="T11" i="5"/>
  <c r="Y11" i="27"/>
  <c r="Y23" i="27" s="1"/>
  <c r="Y26" i="27" s="1"/>
  <c r="Y28" i="27" s="1"/>
  <c r="Y63" i="27" s="1"/>
  <c r="Y67" i="27" s="1"/>
  <c r="Y11" i="26"/>
  <c r="Y23" i="26" s="1"/>
  <c r="Y26" i="26" s="1"/>
  <c r="Y28" i="26" s="1"/>
  <c r="Y63" i="26" s="1"/>
  <c r="Y67" i="26" s="1"/>
  <c r="T11" i="26"/>
  <c r="T23" i="26" s="1"/>
  <c r="J58" i="25"/>
  <c r="G71" i="25" s="1"/>
  <c r="G72" i="25" s="1"/>
  <c r="B75" i="25" s="1"/>
  <c r="AB46" i="26"/>
  <c r="AB48" i="26" s="1"/>
  <c r="AB53" i="26" s="1"/>
  <c r="AB54" i="26" s="1"/>
  <c r="AB46" i="27"/>
  <c r="AB48" i="27" s="1"/>
  <c r="AB53" i="27" s="1"/>
  <c r="AB54" i="27" s="1"/>
  <c r="AC447" i="3"/>
  <c r="E105" i="15"/>
  <c r="K5" i="9"/>
  <c r="T703" i="6"/>
  <c r="AK615" i="6"/>
  <c r="M5" i="9"/>
  <c r="AS539" i="6"/>
  <c r="BY530" i="6"/>
  <c r="BY531" i="6"/>
  <c r="BU530" i="6"/>
  <c r="BY532" i="6"/>
  <c r="BT570" i="6"/>
  <c r="BT574" i="6" s="1"/>
  <c r="BP585" i="6"/>
  <c r="BN586" i="6" s="1"/>
  <c r="BB586" i="6"/>
  <c r="BQ530" i="6"/>
  <c r="BQ534" i="6" s="1"/>
  <c r="BU531" i="6"/>
  <c r="BE547" i="6"/>
  <c r="AU546" i="6"/>
  <c r="BL585" i="6"/>
  <c r="BJ586" i="6" s="1"/>
  <c r="BF586" i="6"/>
  <c r="O16" i="9"/>
  <c r="M22" i="9"/>
  <c r="M35" i="9" s="1"/>
  <c r="O5" i="9"/>
  <c r="Q4" i="9"/>
  <c r="I6" i="9"/>
  <c r="G7" i="9"/>
  <c r="G11" i="9" s="1"/>
  <c r="G37" i="9" s="1"/>
  <c r="BI547" i="6"/>
  <c r="BM544" i="6"/>
  <c r="W15" i="9"/>
  <c r="Q32" i="9"/>
  <c r="M8" i="9"/>
  <c r="K9" i="9"/>
  <c r="E47" i="9" l="1"/>
  <c r="E48" i="9"/>
  <c r="AJ988" i="3"/>
  <c r="CC532" i="6"/>
  <c r="CC533" i="6"/>
  <c r="Q53" i="9"/>
  <c r="O58" i="9"/>
  <c r="T26" i="26"/>
  <c r="T28" i="26" s="1"/>
  <c r="T29" i="26" s="1"/>
  <c r="AD38" i="26"/>
  <c r="AD40" i="26" s="1"/>
  <c r="T26" i="27"/>
  <c r="T28" i="27" s="1"/>
  <c r="T29" i="27" s="1"/>
  <c r="AD38" i="27"/>
  <c r="AD40" i="27" s="1"/>
  <c r="BE16" i="28"/>
  <c r="T23" i="5"/>
  <c r="B76" i="25"/>
  <c r="O76" i="25" s="1"/>
  <c r="T702" i="6"/>
  <c r="AO694" i="6"/>
  <c r="AF702" i="6" s="1"/>
  <c r="AF708" i="6" s="1"/>
  <c r="CC531" i="6"/>
  <c r="BY534" i="6"/>
  <c r="BU534" i="6"/>
  <c r="BJ587" i="6"/>
  <c r="AV551" i="6" s="1"/>
  <c r="BY571" i="6"/>
  <c r="E72" i="9"/>
  <c r="K6" i="9"/>
  <c r="I7" i="9"/>
  <c r="I11" i="9" s="1"/>
  <c r="I37" i="9" s="1"/>
  <c r="Q16" i="9"/>
  <c r="O22" i="9"/>
  <c r="O35" i="9" s="1"/>
  <c r="Q5" i="9"/>
  <c r="S4" i="9"/>
  <c r="G49" i="9"/>
  <c r="G45" i="9"/>
  <c r="Y15" i="9"/>
  <c r="BM547" i="6"/>
  <c r="BQ545" i="6"/>
  <c r="S32" i="9"/>
  <c r="M9" i="9"/>
  <c r="O8" i="9"/>
  <c r="T24" i="5" l="1"/>
  <c r="X993" i="3"/>
  <c r="D994" i="3" s="1"/>
  <c r="CC534" i="6"/>
  <c r="CG534" i="6" s="1"/>
  <c r="Y38" i="27"/>
  <c r="Y40" i="27" s="1"/>
  <c r="Y41" i="27" s="1"/>
  <c r="AB55" i="27" s="1"/>
  <c r="AB56" i="27" s="1"/>
  <c r="AB58" i="27" s="1"/>
  <c r="AB75" i="27" s="1"/>
  <c r="AB76" i="27" s="1"/>
  <c r="AB77" i="27" s="1"/>
  <c r="AB79" i="27" s="1"/>
  <c r="J80" i="27" s="1"/>
  <c r="Y38" i="26"/>
  <c r="Y40" i="26" s="1"/>
  <c r="Y41" i="26" s="1"/>
  <c r="S53" i="9"/>
  <c r="Q58" i="9"/>
  <c r="T26" i="5"/>
  <c r="T28" i="5" s="1"/>
  <c r="Y38" i="5" s="1"/>
  <c r="Y40" i="5" s="1"/>
  <c r="Q71" i="25"/>
  <c r="O75" i="25" s="1"/>
  <c r="R75" i="25" s="1"/>
  <c r="AD38" i="5"/>
  <c r="AD40" i="5" s="1"/>
  <c r="CD572" i="6"/>
  <c r="BY574" i="6"/>
  <c r="BQ547" i="6"/>
  <c r="BU546" i="6"/>
  <c r="BU547" i="6" s="1"/>
  <c r="S16" i="9"/>
  <c r="Q22" i="9"/>
  <c r="Q35" i="9" s="1"/>
  <c r="AA15" i="9"/>
  <c r="G47" i="9"/>
  <c r="G60" i="9"/>
  <c r="G66" i="9" s="1"/>
  <c r="G48" i="9"/>
  <c r="I49" i="9"/>
  <c r="I45" i="9"/>
  <c r="U4" i="9"/>
  <c r="S5" i="9"/>
  <c r="K7" i="9"/>
  <c r="K11" i="9" s="1"/>
  <c r="M6" i="9"/>
  <c r="U32" i="9"/>
  <c r="Q8" i="9"/>
  <c r="O9" i="9"/>
  <c r="AB55" i="26" l="1"/>
  <c r="AB56" i="26" s="1"/>
  <c r="AB58" i="26" s="1"/>
  <c r="AB75" i="26" s="1"/>
  <c r="AB76" i="26" s="1"/>
  <c r="AB77" i="26" s="1"/>
  <c r="AB79" i="26" s="1"/>
  <c r="J80" i="26" s="1"/>
  <c r="S58" i="9"/>
  <c r="U53" i="9"/>
  <c r="F59" i="27"/>
  <c r="AR43" i="5"/>
  <c r="AR42" i="5"/>
  <c r="Y41" i="5" s="1"/>
  <c r="AB55" i="5" s="1"/>
  <c r="Y63" i="5"/>
  <c r="Y67" i="5" s="1"/>
  <c r="T29" i="5"/>
  <c r="CD574" i="6"/>
  <c r="CI573" i="6"/>
  <c r="CI574" i="6" s="1"/>
  <c r="CC547" i="6"/>
  <c r="K37" i="9"/>
  <c r="K49" i="9" s="1"/>
  <c r="U16" i="9"/>
  <c r="S22" i="9"/>
  <c r="S35" i="9" s="1"/>
  <c r="W4" i="9"/>
  <c r="U5" i="9"/>
  <c r="AC15" i="9"/>
  <c r="I47" i="9"/>
  <c r="I48" i="9"/>
  <c r="I60" i="9"/>
  <c r="I66" i="9" s="1"/>
  <c r="G62" i="9"/>
  <c r="O6" i="9"/>
  <c r="M7" i="9"/>
  <c r="M11" i="9" s="1"/>
  <c r="M37" i="9" s="1"/>
  <c r="W32" i="9"/>
  <c r="S8" i="9"/>
  <c r="Q9" i="9"/>
  <c r="F59" i="26" l="1"/>
  <c r="U58" i="9"/>
  <c r="W53" i="9"/>
  <c r="BE15" i="28"/>
  <c r="Q22" i="28"/>
  <c r="V33" i="28" s="1"/>
  <c r="V35" i="28" s="1"/>
  <c r="M25" i="3"/>
  <c r="P203" i="3" s="1"/>
  <c r="AB56" i="5"/>
  <c r="AB58" i="5" s="1"/>
  <c r="F59" i="5" s="1"/>
  <c r="K45" i="9"/>
  <c r="K60" i="9" s="1"/>
  <c r="K66" i="9" s="1"/>
  <c r="CN574" i="6"/>
  <c r="BD555" i="6" s="1"/>
  <c r="AT557" i="6" s="1"/>
  <c r="Q6" i="9"/>
  <c r="O7" i="9"/>
  <c r="O11" i="9" s="1"/>
  <c r="O37" i="9" s="1"/>
  <c r="Y4" i="9"/>
  <c r="W5" i="9"/>
  <c r="I62" i="9"/>
  <c r="AE15" i="9"/>
  <c r="G70" i="9"/>
  <c r="G72" i="9" s="1"/>
  <c r="M45" i="9"/>
  <c r="M49" i="9"/>
  <c r="W16" i="9"/>
  <c r="U22" i="9"/>
  <c r="U35" i="9" s="1"/>
  <c r="Y32" i="9"/>
  <c r="U8" i="9"/>
  <c r="S9" i="9"/>
  <c r="W58" i="9" l="1"/>
  <c r="Y53" i="9"/>
  <c r="K48" i="9"/>
  <c r="AB75" i="5"/>
  <c r="AB76" i="5" s="1"/>
  <c r="M27" i="3" s="1"/>
  <c r="K70" i="9"/>
  <c r="K47" i="9"/>
  <c r="K62" i="9"/>
  <c r="AW559" i="6"/>
  <c r="M48" i="9"/>
  <c r="M47" i="9"/>
  <c r="M60" i="9"/>
  <c r="M66" i="9" s="1"/>
  <c r="O49" i="9"/>
  <c r="O45" i="9"/>
  <c r="AA4" i="9"/>
  <c r="Y5" i="9"/>
  <c r="I70" i="9"/>
  <c r="I72" i="9" s="1"/>
  <c r="AG15" i="9"/>
  <c r="Y16" i="9"/>
  <c r="W22" i="9"/>
  <c r="W35" i="9" s="1"/>
  <c r="S6" i="9"/>
  <c r="Q7" i="9"/>
  <c r="Q11" i="9" s="1"/>
  <c r="Q37" i="9" s="1"/>
  <c r="AA32" i="9"/>
  <c r="W8" i="9"/>
  <c r="U9" i="9"/>
  <c r="Y58" i="9" l="1"/>
  <c r="AA53" i="9"/>
  <c r="AB77" i="5"/>
  <c r="AB79" i="5" s="1"/>
  <c r="J80" i="5" s="1"/>
  <c r="K72" i="9"/>
  <c r="W203" i="3"/>
  <c r="D203" i="3"/>
  <c r="Q45" i="9"/>
  <c r="Q49" i="9"/>
  <c r="AC4" i="9"/>
  <c r="AA5" i="9"/>
  <c r="O48" i="9"/>
  <c r="O60" i="9"/>
  <c r="O47" i="9"/>
  <c r="U6" i="9"/>
  <c r="S7" i="9"/>
  <c r="S11" i="9" s="1"/>
  <c r="S37" i="9" s="1"/>
  <c r="AA16" i="9"/>
  <c r="Y22" i="9"/>
  <c r="Y35" i="9" s="1"/>
  <c r="M62" i="9"/>
  <c r="AC32" i="9"/>
  <c r="W9" i="9"/>
  <c r="Y8" i="9"/>
  <c r="AA58" i="9" l="1"/>
  <c r="AC53" i="9"/>
  <c r="M70" i="9"/>
  <c r="M72" i="9" s="1"/>
  <c r="W6" i="9"/>
  <c r="U7" i="9"/>
  <c r="U11" i="9" s="1"/>
  <c r="U37" i="9" s="1"/>
  <c r="O62" i="9"/>
  <c r="O66" i="9"/>
  <c r="O70" i="9" s="1"/>
  <c r="AC16" i="9"/>
  <c r="AA22" i="9"/>
  <c r="AA35" i="9" s="1"/>
  <c r="S45" i="9"/>
  <c r="S49" i="9"/>
  <c r="AC5" i="9"/>
  <c r="AE4" i="9"/>
  <c r="Q48" i="9"/>
  <c r="Q60" i="9"/>
  <c r="Q47" i="9"/>
  <c r="AE32" i="9"/>
  <c r="Y9" i="9"/>
  <c r="AA8" i="9"/>
  <c r="AE53" i="9" l="1"/>
  <c r="AC58" i="9"/>
  <c r="AE5" i="9"/>
  <c r="AG4" i="9"/>
  <c r="O72" i="9"/>
  <c r="S47" i="9"/>
  <c r="S48" i="9"/>
  <c r="S60" i="9"/>
  <c r="W7" i="9"/>
  <c r="W11" i="9" s="1"/>
  <c r="W37" i="9" s="1"/>
  <c r="Y6" i="9"/>
  <c r="U49" i="9"/>
  <c r="U45" i="9"/>
  <c r="Q66" i="9"/>
  <c r="Q62" i="9"/>
  <c r="AE16" i="9"/>
  <c r="AC22" i="9"/>
  <c r="AC35" i="9" s="1"/>
  <c r="AG32" i="9"/>
  <c r="AA9" i="9"/>
  <c r="AC8" i="9"/>
  <c r="AG53" i="9" l="1"/>
  <c r="AG58" i="9" s="1"/>
  <c r="AE58" i="9"/>
  <c r="AG5" i="9"/>
  <c r="Q70" i="9"/>
  <c r="Q72" i="9" s="1"/>
  <c r="W45" i="9"/>
  <c r="W49" i="9"/>
  <c r="AG16" i="9"/>
  <c r="AG22" i="9" s="1"/>
  <c r="AG35" i="9" s="1"/>
  <c r="AE22" i="9"/>
  <c r="AE35" i="9" s="1"/>
  <c r="S62" i="9"/>
  <c r="S66" i="9"/>
  <c r="U48" i="9"/>
  <c r="U60" i="9"/>
  <c r="U47" i="9"/>
  <c r="Y7" i="9"/>
  <c r="Y11" i="9" s="1"/>
  <c r="Y37" i="9" s="1"/>
  <c r="AA6" i="9"/>
  <c r="AC9" i="9"/>
  <c r="AE8" i="9"/>
  <c r="Y45" i="9" l="1"/>
  <c r="Y49" i="9"/>
  <c r="S70" i="9"/>
  <c r="S72" i="9" s="1"/>
  <c r="AA7" i="9"/>
  <c r="AA11" i="9" s="1"/>
  <c r="AA37" i="9" s="1"/>
  <c r="AC6" i="9"/>
  <c r="U66" i="9"/>
  <c r="U62" i="9"/>
  <c r="W47" i="9"/>
  <c r="W48" i="9"/>
  <c r="W60" i="9"/>
  <c r="AG8" i="9"/>
  <c r="AE9" i="9"/>
  <c r="AA49" i="9" l="1"/>
  <c r="AA45" i="9"/>
  <c r="W66" i="9"/>
  <c r="W62" i="9"/>
  <c r="AE6" i="9"/>
  <c r="AC7" i="9"/>
  <c r="AC11" i="9"/>
  <c r="AC37" i="9" s="1"/>
  <c r="U70" i="9"/>
  <c r="U72" i="9" s="1"/>
  <c r="Y48" i="9"/>
  <c r="Y60" i="9"/>
  <c r="Y47" i="9"/>
  <c r="AG9" i="9"/>
  <c r="AG6" i="9" l="1"/>
  <c r="AE7" i="9"/>
  <c r="AE11" i="9" s="1"/>
  <c r="AE37" i="9" s="1"/>
  <c r="Y66" i="9"/>
  <c r="Y62" i="9"/>
  <c r="AC49" i="9"/>
  <c r="AC45" i="9"/>
  <c r="AA47" i="9"/>
  <c r="AA48" i="9"/>
  <c r="AA60" i="9"/>
  <c r="W70" i="9"/>
  <c r="W72" i="9" s="1"/>
  <c r="AG7" i="9" l="1"/>
  <c r="AG11" i="9"/>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E70" i="9" s="1"/>
  <c r="AG62" i="9" l="1"/>
  <c r="AG66" i="9"/>
  <c r="AG70" i="9" s="1"/>
  <c r="AE72" i="9"/>
  <c r="AG7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rgb="FF000000"/>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<sst xmlns="http://schemas.openxmlformats.org/spreadsheetml/2006/main" count="4719" uniqueCount="2537">
  <si>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</si>
  <si>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</si>
  <si>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</si>
  <si>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</si>
  <si>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</si>
  <si>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</si>
  <si>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</si>
  <si>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</si>
  <si>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</si>
  <si>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</si>
  <si>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</si>
  <si>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</si>
  <si>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</si>
  <si>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</si>
  <si>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</si>
  <si>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</si>
  <si>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</si>
  <si>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</si>
  <si>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</si>
  <si>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</si>
  <si>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</si>
  <si>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</si>
  <si>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</si>
  <si>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</si>
  <si>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</si>
  <si>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</si>
  <si>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</si>
  <si>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</si>
  <si>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</si>
  <si>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</si>
  <si>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</si>
  <si>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</si>
  <si>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</si>
  <si>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</si>
  <si>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</si>
  <si>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</si>
  <si>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</si>
  <si>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</si>
  <si>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</si>
  <si>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</si>
  <si>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</si>
  <si>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</si>
  <si>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</si>
  <si>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</si>
  <si>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</si>
  <si>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</si>
  <si>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</si>
  <si>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</si>
  <si>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</si>
  <si>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</si>
  <si>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</si>
  <si>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</si>
  <si>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</si>
  <si>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</si>
  <si>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</si>
  <si>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</si>
  <si>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</si>
  <si>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</si>
  <si>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</si>
  <si>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</si>
  <si>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</si>
  <si>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</si>
  <si>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</si>
  <si>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</si>
  <si>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</si>
  <si>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</si>
  <si>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</si>
  <si>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</si>
  <si>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</si>
  <si>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</si>
  <si>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</si>
  <si>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</si>
  <si>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</si>
  <si>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</si>
  <si>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</si>
  <si>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</si>
  <si>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</si>
  <si>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</si>
  <si>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</si>
  <si>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</si>
  <si>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</si>
  <si>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</si>
  <si>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</si>
  <si>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</si>
  <si>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</si>
  <si>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</si>
  <si>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</si>
  <si>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</si>
  <si>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</si>
  <si>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</si>
  <si>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</si>
  <si>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</si>
  <si>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</si>
  <si>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</si>
  <si>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</si>
  <si>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</si>
  <si>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</si>
  <si>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</si>
  <si>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</si>
  <si>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</si>
  <si>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</si>
  <si>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</si>
  <si>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</si>
  <si>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</si>
  <si>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</si>
  <si>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</si>
  <si>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</si>
  <si>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</si>
  <si>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</si>
  <si>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</si>
  <si>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</si>
  <si>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</si>
  <si>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</si>
  <si>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</si>
  <si>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</si>
  <si>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</si>
  <si>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</si>
  <si>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</si>
  <si>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</si>
  <si>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</si>
  <si>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</si>
  <si>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</si>
  <si>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</si>
  <si>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</si>
  <si>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</si>
  <si>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</si>
  <si>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</si>
  <si>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</si>
  <si>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</si>
  <si>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</si>
  <si>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</si>
  <si>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</si>
  <si>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</si>
  <si>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</si>
  <si>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</si>
  <si>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</si>
  <si>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</si>
  <si>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</si>
  <si>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</si>
  <si>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</si>
  <si>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</si>
  <si>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</si>
  <si>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</si>
  <si>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</si>
  <si>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</si>
  <si>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</si>
  <si>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</si>
  <si>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</si>
  <si>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</si>
  <si>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</si>
  <si>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</si>
  <si>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</si>
  <si>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</si>
  <si>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</si>
  <si>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</si>
  <si>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</si>
  <si>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</si>
  <si>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</si>
  <si>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</si>
  <si>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</si>
  <si>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</si>
  <si>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</si>
  <si>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</si>
  <si>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</si>
  <si>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</si>
  <si>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</si>
  <si>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</si>
  <si>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</si>
  <si>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</si>
  <si>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</si>
  <si>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</si>
  <si>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</si>
  <si>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</si>
  <si>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</si>
  <si>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</si>
  <si>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</si>
  <si>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</si>
  <si>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</si>
  <si>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</si>
  <si>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</si>
  <si>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</si>
  <si>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</si>
  <si>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</si>
  <si>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</si>
  <si>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</si>
  <si>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</si>
  <si>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</si>
  <si>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</si>
  <si>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</si>
  <si>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</si>
  <si>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</si>
  <si>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</si>
  <si>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</si>
  <si>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</si>
  <si>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</si>
  <si>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</si>
  <si>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</si>
  <si>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</si>
  <si>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</si>
  <si>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</si>
  <si>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</si>
  <si>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</si>
  <si>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</si>
  <si>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</si>
  <si>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</si>
  <si>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</si>
  <si>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</si>
  <si>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</si>
  <si>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</si>
  <si>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</si>
  <si>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</si>
  <si>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</si>
  <si>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</si>
  <si>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</si>
  <si>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</si>
  <si>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</si>
  <si>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</si>
  <si>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</si>
  <si>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</si>
  <si>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</si>
  <si>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</si>
  <si>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</si>
  <si>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</si>
  <si>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</si>
  <si>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</si>
  <si>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</si>
  <si>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</si>
  <si>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</si>
  <si>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</si>
  <si>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</si>
  <si>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</si>
  <si>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</si>
  <si>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</si>
  <si>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</si>
  <si>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</si>
  <si>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</si>
  <si>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</si>
  <si>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</si>
  <si>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</si>
  <si>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</si>
  <si>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</si>
  <si>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</si>
  <si>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</si>
  <si>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</si>
  <si>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</si>
  <si>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</si>
  <si>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</si>
  <si>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</si>
  <si>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</si>
  <si>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</si>
  <si>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</si>
  <si>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</si>
  <si>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</si>
  <si>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</si>
  <si>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</si>
  <si>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</si>
  <si>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</si>
  <si>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</si>
  <si>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</si>
  <si>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</si>
  <si>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</si>
  <si>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</si>
  <si>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</si>
  <si>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</si>
  <si>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</si>
  <si>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</si>
  <si>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</si>
  <si>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</si>
  <si>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</si>
  <si>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</si>
  <si>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</si>
  <si>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</si>
  <si>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</si>
  <si>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</si>
  <si>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</si>
  <si>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</si>
  <si>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</si>
  <si>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</si>
  <si>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</si>
  <si>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</si>
  <si>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</si>
  <si>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</si>
  <si>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</si>
  <si>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</si>
  <si>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</si>
  <si>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</si>
  <si>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</si>
  <si>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</si>
  <si>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</si>
  <si>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</si>
  <si>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</si>
  <si>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</si>
  <si>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</si>
  <si>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</si>
  <si>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</si>
  <si>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</si>
  <si>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</si>
  <si>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</si>
  <si>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</si>
  <si>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</si>
  <si>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</si>
  <si>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</si>
  <si>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</si>
  <si>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</si>
  <si>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</si>
  <si>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</si>
  <si>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</si>
  <si>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</si>
  <si>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</si>
  <si>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</si>
  <si>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</si>
  <si>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</si>
  <si>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</si>
  <si>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</si>
  <si>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</si>
  <si>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</si>
  <si>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</si>
  <si>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</si>
  <si>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</si>
  <si>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</si>
  <si>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</si>
  <si>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</si>
  <si>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</si>
  <si>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</si>
  <si>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</si>
  <si>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</si>
  <si>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</si>
  <si>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</si>
  <si>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</si>
  <si>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</si>
  <si>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</si>
  <si>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</si>
  <si>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</si>
  <si>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</si>
  <si>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</si>
  <si>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</si>
  <si>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</si>
  <si>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</si>
  <si>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</si>
  <si>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</si>
  <si>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</si>
  <si>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</si>
  <si>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</si>
  <si>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</si>
  <si>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</si>
  <si>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</si>
  <si>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</si>
  <si>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</si>
  <si>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</si>
  <si>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</si>
  <si>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</si>
  <si>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</si>
  <si>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</si>
  <si>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</si>
  <si>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</si>
  <si>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</si>
  <si>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</si>
  <si>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</si>
  <si>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</si>
  <si>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</si>
  <si>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</si>
  <si>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</si>
  <si>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</si>
  <si>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</si>
  <si>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</si>
  <si>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</si>
  <si>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</si>
  <si>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</si>
  <si>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</si>
  <si>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</si>
  <si>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</si>
  <si>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</si>
  <si>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</si>
  <si>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</si>
  <si>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</si>
  <si>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</si>
  <si>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</si>
  <si>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</si>
  <si>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</si>
  <si>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</si>
  <si>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</si>
  <si>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</si>
  <si>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</si>
  <si>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</si>
  <si>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</si>
  <si>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</si>
  <si>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</si>
  <si>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</si>
  <si>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</si>
  <si>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</si>
  <si>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</si>
  <si>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</si>
  <si>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</si>
  <si>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</si>
  <si>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</si>
  <si>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</si>
  <si>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</si>
  <si>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</si>
  <si>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</si>
  <si>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</si>
  <si>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</si>
  <si>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</si>
  <si>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</si>
  <si>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</si>
  <si>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</si>
  <si>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</si>
  <si>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</si>
  <si>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</si>
  <si>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</si>
  <si>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</si>
  <si>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</si>
  <si>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</si>
  <si>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</si>
  <si>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</si>
  <si>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</si>
  <si>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</si>
  <si>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</si>
  <si>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</si>
  <si>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</si>
  <si>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</si>
  <si>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</si>
  <si>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</si>
  <si>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</si>
  <si>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</si>
  <si>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</si>
  <si>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</si>
  <si>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</si>
  <si>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</si>
  <si>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</si>
  <si>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</si>
  <si>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</si>
  <si>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</si>
  <si>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</si>
  <si>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</si>
  <si>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</si>
  <si>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</si>
  <si>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</si>
  <si>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</si>
  <si>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</si>
  <si>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</si>
  <si>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</si>
  <si>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</si>
  <si>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</si>
  <si>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</si>
  <si>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</si>
  <si>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</si>
  <si>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</si>
  <si>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</si>
  <si>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</si>
  <si>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</si>
  <si>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</si>
  <si>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</si>
  <si>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</si>
  <si>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</si>
  <si>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</si>
  <si>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</si>
  <si>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</si>
  <si>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</si>
  <si>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</si>
  <si>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</si>
  <si>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</si>
  <si>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</si>
  <si>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</si>
  <si>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</si>
  <si>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</si>
  <si>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</si>
  <si>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</si>
  <si>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</si>
  <si>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</si>
  <si>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</si>
  <si>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</si>
  <si>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</si>
  <si>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</si>
  <si>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</si>
  <si>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</si>
  <si>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</si>
  <si>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</si>
  <si>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</si>
  <si>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</si>
  <si>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</si>
  <si>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</si>
  <si>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</si>
  <si>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</si>
  <si>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</si>
  <si>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</si>
  <si>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</si>
  <si>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</si>
  <si>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</si>
  <si>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</si>
  <si>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</si>
  <si>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</si>
  <si>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</si>
  <si>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</si>
  <si>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</si>
  <si>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</si>
  <si>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</si>
  <si>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</si>
  <si>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</si>
  <si>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</si>
  <si>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</si>
  <si>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</si>
  <si>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</si>
  <si>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</si>
  <si>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</si>
  <si>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</si>
  <si>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</si>
  <si>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</si>
  <si>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</si>
  <si>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</si>
  <si>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</si>
  <si>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</si>
  <si>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</si>
  <si>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</si>
  <si>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</si>
  <si>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</si>
  <si>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</si>
  <si>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</si>
  <si>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</si>
  <si>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</si>
  <si>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</si>
  <si>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</si>
  <si>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</si>
  <si>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</si>
  <si>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</si>
  <si>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</si>
  <si>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</si>
  <si>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</si>
  <si>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</si>
  <si>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</si>
  <si>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</si>
  <si>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</si>
  <si>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</si>
  <si>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</si>
  <si>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</si>
  <si>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</si>
  <si>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</si>
  <si>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</si>
  <si>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</si>
  <si>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</si>
  <si>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</si>
  <si>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</si>
  <si>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</si>
  <si>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</si>
  <si>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</si>
  <si>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</si>
  <si>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</si>
  <si>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</si>
  <si>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</si>
  <si>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</si>
  <si>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</si>
  <si>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</si>
  <si>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</si>
  <si>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</si>
  <si>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</si>
  <si>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</si>
  <si>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</si>
  <si>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</si>
  <si>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</si>
  <si>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</si>
  <si>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</si>
  <si>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</si>
  <si>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</si>
  <si>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</si>
  <si>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</si>
  <si>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</si>
  <si>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</si>
  <si>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</si>
  <si>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</si>
  <si>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</si>
  <si>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</si>
  <si>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</si>
  <si>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</si>
  <si>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</si>
  <si>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</si>
  <si>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</si>
  <si>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</si>
  <si>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</si>
  <si>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</si>
  <si>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</si>
  <si>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</si>
  <si>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</si>
  <si>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</si>
  <si>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</si>
  <si>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</si>
  <si>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</si>
  <si>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</si>
  <si>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</si>
  <si>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</si>
  <si>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</si>
  <si>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</si>
  <si>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</si>
  <si>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</si>
  <si>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</si>
  <si>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</si>
  <si>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</si>
  <si>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</si>
  <si>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</si>
  <si>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</si>
  <si>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</si>
  <si>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</si>
  <si>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</si>
  <si>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</si>
  <si>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</si>
  <si>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</si>
  <si>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</si>
  <si>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</si>
  <si>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</si>
  <si>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</si>
  <si>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</si>
  <si>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</si>
  <si>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</si>
  <si>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</si>
  <si>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</si>
  <si>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</si>
  <si>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</si>
  <si>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</si>
  <si>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</si>
  <si>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</si>
  <si>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</si>
  <si>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</si>
  <si>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</si>
  <si>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</si>
  <si>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</si>
  <si>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</si>
  <si>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</si>
  <si>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</si>
  <si>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</si>
  <si>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</si>
  <si>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</si>
  <si>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</si>
  <si>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</si>
  <si>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</si>
  <si>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</si>
  <si>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</si>
  <si>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</si>
  <si>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</si>
  <si>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</si>
  <si>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</si>
  <si>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</si>
  <si>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</si>
  <si>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</si>
  <si>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</si>
  <si>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</si>
  <si>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</si>
  <si>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</si>
  <si>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</si>
  <si>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</si>
  <si>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</si>
  <si>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</si>
  <si>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</si>
  <si>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</si>
  <si>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</si>
  <si>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</si>
  <si>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</si>
  <si>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</si>
  <si>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</si>
  <si>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</si>
  <si>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</si>
  <si>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</si>
  <si>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</si>
  <si>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</si>
  <si>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</si>
  <si>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</si>
  <si>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</si>
  <si>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</si>
  <si>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</si>
  <si>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</si>
  <si>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</si>
  <si>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</si>
  <si>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</si>
  <si>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</si>
  <si>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</si>
  <si>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</si>
  <si>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</si>
  <si>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</si>
  <si>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</si>
  <si>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</si>
  <si>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</si>
  <si>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</si>
  <si>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</si>
  <si>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</si>
  <si>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</si>
  <si>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</si>
  <si>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</si>
  <si>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</si>
  <si>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</si>
  <si>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</si>
  <si>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</si>
  <si>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</si>
  <si>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</si>
  <si>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</si>
  <si>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</si>
  <si>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</si>
  <si>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</si>
  <si>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</si>
  <si>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</si>
  <si>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April 10, 2023 Version</t>
  </si>
  <si>
    <t xml:space="preserve">II. APPLICATION - SECTION 1: APPLICANT STATEMENT AND CERTIFICATION </t>
  </si>
  <si>
    <t>APPLICANT:</t>
  </si>
  <si>
    <t>Santa Fe Springs Village, LP</t>
  </si>
  <si>
    <t>PROJECT NAME:</t>
  </si>
  <si>
    <t>Santa Fe Springs Village</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</si>
  <si>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</si>
  <si>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</si>
  <si>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</si>
  <si>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</si>
  <si>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</si>
  <si>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</si>
  <si>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</si>
  <si>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</si>
  <si>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</si>
  <si>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</si>
  <si>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No</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</si>
  <si>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</si>
  <si>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</si>
  <si>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</si>
  <si>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</si>
  <si>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</si>
  <si>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</si>
  <si>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</si>
  <si>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</si>
  <si>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</si>
  <si>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</si>
  <si>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</si>
  <si>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</si>
  <si>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</si>
  <si>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</si>
  <si>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</si>
  <si>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</si>
  <si>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</si>
  <si>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</si>
  <si>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</si>
  <si>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</si>
  <si>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</si>
  <si>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</si>
  <si>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</si>
  <si>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</si>
  <si>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</si>
  <si>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</si>
  <si>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</si>
  <si>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</si>
  <si>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</si>
  <si>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</si>
  <si>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</si>
  <si>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</si>
  <si>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</si>
  <si>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</si>
  <si>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</si>
  <si>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</si>
  <si>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</si>
  <si>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</si>
  <si>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</si>
  <si>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</si>
  <si>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</si>
  <si>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</si>
  <si>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</si>
  <si>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</si>
  <si>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</si>
  <si>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</si>
  <si>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</si>
  <si>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</si>
  <si>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</si>
  <si>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</si>
  <si>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</si>
  <si>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</si>
  <si>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</si>
  <si>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</si>
  <si>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</si>
  <si>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</si>
  <si>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</si>
  <si>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</si>
  <si>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</si>
  <si>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</si>
  <si>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</si>
  <si>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</si>
  <si>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</si>
  <si>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</si>
  <si>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</si>
  <si>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</si>
  <si>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</si>
  <si>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</si>
  <si>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</si>
  <si>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</si>
  <si>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</si>
  <si>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</si>
  <si>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</si>
  <si>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</si>
  <si>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</si>
  <si>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</si>
  <si>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</si>
  <si>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</si>
  <si>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April</t>
  </si>
  <si>
    <t>, 2023 at</t>
  </si>
  <si>
    <t xml:space="preserve">By: </t>
  </si>
  <si>
    <t>(Original Signature)</t>
  </si>
  <si>
    <t>Culver City</t>
  </si>
  <si>
    <t>, California.</t>
  </si>
  <si>
    <t xml:space="preserve">Dalila Sotelo </t>
  </si>
  <si>
    <t>(Typed or printed name)</t>
  </si>
  <si>
    <t>President, Residential Division</t>
  </si>
  <si>
    <t>(Title)</t>
  </si>
  <si>
    <t>Local Jurisdiction:</t>
  </si>
  <si>
    <t>City of Santa Fe Springs</t>
  </si>
  <si>
    <t>City Manager:</t>
  </si>
  <si>
    <t>Tom Hatch</t>
  </si>
  <si>
    <t>*</t>
  </si>
  <si>
    <t>ALAMEDA</t>
  </si>
  <si>
    <t>Alameda</t>
  </si>
  <si>
    <t>Title:</t>
  </si>
  <si>
    <t>City Manager</t>
  </si>
  <si>
    <t>ALPINE</t>
  </si>
  <si>
    <t>Alpine</t>
  </si>
  <si>
    <t xml:space="preserve">Mailing Address: </t>
  </si>
  <si>
    <t>11710 East Telegraph Road</t>
  </si>
  <si>
    <t>AMADOR</t>
  </si>
  <si>
    <t>Amador</t>
  </si>
  <si>
    <t xml:space="preserve">City: </t>
  </si>
  <si>
    <t>Santa Fe Springs</t>
  </si>
  <si>
    <t>BUTTE</t>
  </si>
  <si>
    <t>Butte</t>
  </si>
  <si>
    <t xml:space="preserve">Zip Code: </t>
  </si>
  <si>
    <t>CALAVERAS</t>
  </si>
  <si>
    <t>Calaveras</t>
  </si>
  <si>
    <t>Phone Number:</t>
  </si>
  <si>
    <t>(562) 868-0511</t>
  </si>
  <si>
    <t>Ext.</t>
  </si>
  <si>
    <t>Yes</t>
  </si>
  <si>
    <t>COLUSA</t>
  </si>
  <si>
    <t>Colusa</t>
  </si>
  <si>
    <t xml:space="preserve">FAX Number: </t>
  </si>
  <si>
    <t>(562) 868-7112</t>
  </si>
  <si>
    <t>CONTRA COSTA</t>
  </si>
  <si>
    <t>Contra Costa</t>
  </si>
  <si>
    <t xml:space="preserve">E-mail: </t>
  </si>
  <si>
    <t>tomhatch@santafesprings.org</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</si>
  <si>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</si>
  <si>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</si>
  <si>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</si>
  <si>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</si>
  <si>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</si>
  <si>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</si>
  <si>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</si>
  <si>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</si>
  <si>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</si>
  <si>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</si>
  <si>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</si>
  <si>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</si>
  <si>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</si>
  <si>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</si>
  <si>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</si>
  <si>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</si>
  <si>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</si>
  <si>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</si>
  <si>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</si>
  <si>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</si>
  <si>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</si>
  <si>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</si>
  <si>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</si>
  <si>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</si>
  <si>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</si>
  <si>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</si>
  <si>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</si>
  <si>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</si>
  <si>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</si>
  <si>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</si>
  <si>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</si>
  <si>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</si>
  <si>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</si>
  <si>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</si>
  <si>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</si>
  <si>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</si>
  <si>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</si>
  <si>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</si>
  <si>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</si>
  <si>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</si>
  <si>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</si>
  <si>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</si>
  <si>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</si>
  <si>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</si>
  <si>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</si>
  <si>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</si>
  <si>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</si>
  <si>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</si>
  <si>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</si>
  <si>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</si>
  <si>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</si>
  <si>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</si>
  <si>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</si>
  <si>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</si>
  <si>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</si>
  <si>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</si>
  <si>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</si>
  <si>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</si>
  <si>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</si>
  <si>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</si>
  <si>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</si>
  <si>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</si>
  <si>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</si>
  <si>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</si>
  <si>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</si>
  <si>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</si>
  <si>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</si>
  <si>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</si>
  <si>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</si>
  <si>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</si>
  <si>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</si>
  <si>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</si>
  <si>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</si>
  <si>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</si>
  <si>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</si>
  <si>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</si>
  <si>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</si>
  <si>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</si>
  <si>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</si>
  <si>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</si>
  <si>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</si>
  <si>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</si>
  <si>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8178-001-045</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</si>
  <si>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</si>
  <si>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</si>
  <si>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</si>
  <si>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</si>
  <si>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</si>
  <si>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</si>
  <si>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</si>
  <si>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</si>
  <si>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</si>
  <si>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</si>
  <si>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</si>
  <si>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</si>
  <si>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</si>
  <si>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</si>
  <si>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</si>
  <si>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</si>
  <si>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</si>
  <si>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</si>
  <si>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</si>
  <si>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</si>
  <si>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</si>
  <si>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</si>
  <si>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</si>
  <si>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</si>
  <si>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</si>
  <si>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</si>
  <si>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</si>
  <si>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</si>
  <si>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</si>
  <si>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</si>
  <si>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</si>
  <si>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</si>
  <si>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</si>
  <si>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</si>
  <si>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</si>
  <si>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</si>
  <si>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</si>
  <si>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</si>
  <si>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</si>
  <si>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</si>
  <si>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</si>
  <si>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</si>
  <si>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</si>
  <si>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</si>
  <si>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</si>
  <si>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</si>
  <si>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</si>
  <si>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</si>
  <si>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</si>
  <si>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</si>
  <si>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</si>
  <si>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</si>
  <si>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</si>
  <si>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</si>
  <si>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</si>
  <si>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</si>
  <si>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</si>
  <si>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</si>
  <si>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</si>
  <si>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</si>
  <si>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</si>
  <si>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</si>
  <si>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</si>
  <si>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</si>
  <si>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</si>
  <si>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</si>
  <si>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</si>
  <si>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</si>
  <si>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</si>
  <si>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</si>
  <si>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</si>
  <si>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</si>
  <si>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</si>
  <si>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</si>
  <si>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</si>
  <si>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</si>
  <si>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</si>
  <si>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</si>
  <si>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</si>
  <si>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</si>
  <si>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</si>
  <si>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</si>
  <si>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</si>
  <si>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</si>
  <si>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</si>
  <si>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</si>
  <si>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</si>
  <si>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</si>
  <si>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</si>
  <si>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</si>
  <si>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</si>
  <si>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</si>
  <si>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</si>
  <si>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</si>
  <si>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</si>
  <si>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</si>
  <si>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</si>
  <si>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</si>
  <si>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</si>
  <si>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</si>
  <si>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</si>
  <si>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</si>
  <si>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</si>
  <si>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</si>
  <si>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</si>
  <si>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</si>
  <si>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</si>
  <si>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</si>
  <si>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</si>
  <si>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</si>
  <si>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</si>
  <si>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</si>
  <si>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</si>
  <si>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</si>
  <si>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</si>
  <si>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</si>
  <si>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</si>
  <si>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</si>
  <si>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</si>
  <si>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</si>
  <si>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</si>
  <si>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</si>
  <si>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</si>
  <si>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</si>
  <si>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</si>
  <si>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</si>
  <si>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</si>
  <si>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</si>
  <si>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9950 Jefferson Blvd, Bldg 2</t>
  </si>
  <si>
    <t>both nonprofits</t>
  </si>
  <si>
    <t xml:space="preserve">Culver City </t>
  </si>
  <si>
    <t>State:</t>
  </si>
  <si>
    <t>CA</t>
  </si>
  <si>
    <t>Contact Person:</t>
  </si>
  <si>
    <t>Phone:</t>
  </si>
  <si>
    <t>(213) 588-1334</t>
  </si>
  <si>
    <t>Ext.:</t>
  </si>
  <si>
    <t>Fax:</t>
  </si>
  <si>
    <t>both for-profit</t>
  </si>
  <si>
    <t xml:space="preserve">Email: </t>
  </si>
  <si>
    <t>Legal Status of Applicant:</t>
  </si>
  <si>
    <t>Parent Company:</t>
  </si>
  <si>
    <t>If Other, Specify:</t>
  </si>
  <si>
    <t>Nonprofit</t>
  </si>
  <si>
    <t>C(1)</t>
  </si>
  <si>
    <t>General Partner Name:</t>
  </si>
  <si>
    <t>ALA Santa Fe, LLC</t>
  </si>
  <si>
    <t>Managing GP</t>
  </si>
  <si>
    <t>currently exists</t>
  </si>
  <si>
    <t>937 N Fairfax Blvd</t>
  </si>
  <si>
    <t>to be formed</t>
  </si>
  <si>
    <t>For Profit</t>
  </si>
  <si>
    <t>West Hollywood</t>
  </si>
  <si>
    <t xml:space="preserve">Helen Heish </t>
  </si>
  <si>
    <t>323-650-7988</t>
  </si>
  <si>
    <t>helen@alaseniorliving.org</t>
  </si>
  <si>
    <t>Nonprofit/For Profit:</t>
  </si>
  <si>
    <t>Affordable Living for the Aging</t>
  </si>
  <si>
    <t>C(2)</t>
  </si>
  <si>
    <t>General Partner Name:*</t>
  </si>
  <si>
    <t>Veteran SFS GP, LLC</t>
  </si>
  <si>
    <t>Administrative GP</t>
  </si>
  <si>
    <t>9950 Jefferson Blvd, Bldg2</t>
  </si>
  <si>
    <t>dsotelo@primestor.com</t>
  </si>
  <si>
    <t>Primestor Development, LLC</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</si>
  <si>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</si>
  <si>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</si>
  <si>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</si>
  <si>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</si>
  <si>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</si>
  <si>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</si>
  <si>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</si>
  <si>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</si>
  <si>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9950 Jefferson Blvd, BLDG 2</t>
  </si>
  <si>
    <t>Participatory Role:</t>
  </si>
  <si>
    <t>Administrative General Partner</t>
  </si>
  <si>
    <t>(e.g., General Partner, Consultant, etc.)</t>
  </si>
  <si>
    <t>II. APPLICATION - SECTION 4: DEVELOPMENT TEAM INFORMATION</t>
  </si>
  <si>
    <t>Indicate and List All Development Team Members</t>
  </si>
  <si>
    <t>Developer:</t>
  </si>
  <si>
    <t>Architect:</t>
  </si>
  <si>
    <t>LDA Design Group, Inc.</t>
  </si>
  <si>
    <t>Address:</t>
  </si>
  <si>
    <t xml:space="preserve">9950 Jefferson Blvd, Bldg 2																		</t>
  </si>
  <si>
    <t>3500 W Burbank Blvd</t>
  </si>
  <si>
    <t>City, State, Zip</t>
  </si>
  <si>
    <t>Culver City, CA 90232</t>
  </si>
  <si>
    <t>City, State, Zip:</t>
  </si>
  <si>
    <t>Burbank, CA 91505</t>
  </si>
  <si>
    <t>Dalila Sotelo</t>
  </si>
  <si>
    <t>Heriberto Barrios, Jr., AIA Assoc.</t>
  </si>
  <si>
    <t>Email:</t>
  </si>
  <si>
    <t xml:space="preserve">dsotelo@primestor.com </t>
  </si>
  <si>
    <t>HeribertoB@LDAdesigngroup.com</t>
  </si>
  <si>
    <t>Attorney:</t>
  </si>
  <si>
    <t>Bocarsly Emden Cowan Esmail &amp; Arndt LLP</t>
  </si>
  <si>
    <t>General Contractor:</t>
  </si>
  <si>
    <t>W. L. Butler</t>
  </si>
  <si>
    <t>633 West Fifth Street, 64th Floor</t>
  </si>
  <si>
    <t>3 Mason</t>
  </si>
  <si>
    <t>Los Angeles CA 90071</t>
  </si>
  <si>
    <t>Irvine, CA 92618</t>
  </si>
  <si>
    <t>Kyle Arndt</t>
  </si>
  <si>
    <t>Benny Mastropaolo</t>
  </si>
  <si>
    <t>karndt@bocarsly.com</t>
  </si>
  <si>
    <t>benny.mastropaolo@wlbutler.com</t>
  </si>
  <si>
    <t>Tax Professional:</t>
  </si>
  <si>
    <t>Novogradac</t>
  </si>
  <si>
    <t>Energy Consultant:</t>
  </si>
  <si>
    <t>Partner Energy</t>
  </si>
  <si>
    <t>6700 Antioch Road, Suite 450</t>
  </si>
  <si>
    <t>680 Knox Street, Suite 150</t>
  </si>
  <si>
    <t>Merriam, KS 66204</t>
  </si>
  <si>
    <t>Los Angeles, CA 90502</t>
  </si>
  <si>
    <t>Craig Staswick, CPA</t>
  </si>
  <si>
    <t>Molly Coon</t>
  </si>
  <si>
    <t>craig.staswick@novoco.com</t>
  </si>
  <si>
    <t>mcoon@ptrenergy.com</t>
  </si>
  <si>
    <t>CPA:</t>
  </si>
  <si>
    <t>Investor:</t>
  </si>
  <si>
    <t>Enterprise Community Partners</t>
  </si>
  <si>
    <t>700 South Flower</t>
  </si>
  <si>
    <t>Los Angeles, CA 90017</t>
  </si>
  <si>
    <t>Reagan Maechling</t>
  </si>
  <si>
    <t>rmaechling@enterprisecommunity.com</t>
  </si>
  <si>
    <t>Consultant:</t>
  </si>
  <si>
    <t>Market Analyst:</t>
  </si>
  <si>
    <t>K. David Adamescu</t>
  </si>
  <si>
    <t>david.adamescu@novoco.com</t>
  </si>
  <si>
    <t>Appraiser:</t>
  </si>
  <si>
    <t>The Bronstein Company, Inc.</t>
  </si>
  <si>
    <t>Prop. Mgmt. Co.:</t>
  </si>
  <si>
    <t>FPI Management, Inc.</t>
  </si>
  <si>
    <t>275 E. Hillcrest Drive, Suite 160</t>
  </si>
  <si>
    <t>800 Iron Point Road</t>
  </si>
  <si>
    <t>Thousand Oaks, CA 91360</t>
  </si>
  <si>
    <t>Folsom, CA 95630</t>
  </si>
  <si>
    <t>Cary R. Bronstein, MAI</t>
  </si>
  <si>
    <t>June C. Valle</t>
  </si>
  <si>
    <t>818-483-6309</t>
  </si>
  <si>
    <t>916-850-4418</t>
  </si>
  <si>
    <t>Cary@TBCappraisal.com</t>
  </si>
  <si>
    <t>june.valle@fpimgt.com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</si>
  <si>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</si>
  <si>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</si>
  <si>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</si>
  <si>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</si>
  <si>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</si>
  <si>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</si>
  <si>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</si>
  <si>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</si>
  <si>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</si>
  <si>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</si>
  <si>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</si>
  <si>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</si>
  <si>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</si>
  <si>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</si>
  <si>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</si>
  <si>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</si>
  <si>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</si>
  <si>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</si>
  <si>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</si>
  <si>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</si>
  <si>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</si>
  <si>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</si>
  <si>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</si>
  <si>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</si>
  <si>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</si>
  <si>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</si>
  <si>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</si>
  <si>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</si>
  <si>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</si>
  <si>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</si>
  <si>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</si>
  <si>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</si>
  <si>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</si>
  <si>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</si>
  <si>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 xml:space="preserve">C.G.P Management Co. </t>
  </si>
  <si>
    <t>Signatory of Seller:</t>
  </si>
  <si>
    <t>Debbie Berry</t>
  </si>
  <si>
    <t>Seller Principal:</t>
  </si>
  <si>
    <t>President</t>
  </si>
  <si>
    <t>Seller Address:</t>
  </si>
  <si>
    <t xml:space="preserve">P.O. Box 1246 </t>
  </si>
  <si>
    <t>Downey, CA 90240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</si>
  <si>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</si>
  <si>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</si>
  <si>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</si>
  <si>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</si>
  <si>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</si>
  <si>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</si>
  <si>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</si>
  <si>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</si>
  <si>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</si>
  <si>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</si>
  <si>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</si>
  <si>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</si>
  <si>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</si>
  <si>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</si>
  <si>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</si>
  <si>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</si>
  <si>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</si>
  <si>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</si>
  <si>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</si>
  <si>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</si>
  <si>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</si>
  <si>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</si>
  <si>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</si>
  <si>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</si>
  <si>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</si>
  <si>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</si>
  <si>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</si>
  <si>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</si>
  <si>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</si>
  <si>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</si>
  <si>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</si>
  <si>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 xml:space="preserve">One level of parking - Type I construction - podium deck </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</si>
  <si>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</si>
  <si>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</si>
  <si>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</si>
  <si>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</si>
  <si>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</si>
  <si>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</si>
  <si>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</si>
  <si>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</si>
  <si>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</si>
  <si>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</si>
  <si>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</si>
  <si>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</si>
  <si>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</si>
  <si>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</si>
  <si>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</si>
  <si>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</si>
  <si>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</si>
  <si>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</si>
  <si>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</si>
  <si>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</si>
  <si>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</si>
  <si>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</si>
  <si>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</si>
  <si>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</si>
  <si>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</si>
  <si>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</si>
  <si>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</si>
  <si>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</si>
  <si>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</si>
  <si>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</si>
  <si>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</si>
  <si>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</si>
  <si>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</si>
  <si>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</si>
  <si>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</si>
  <si>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</si>
  <si>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</si>
  <si>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</si>
  <si>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</si>
  <si>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</si>
  <si>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</si>
  <si>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</si>
  <si>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</si>
  <si>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</si>
  <si>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</si>
  <si>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</si>
  <si>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</si>
  <si>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</si>
  <si>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</si>
  <si>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</si>
  <si>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</si>
  <si>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 xml:space="preserve">This is a SN project w/more than 50% units designated for person </t>
  </si>
  <si>
    <t>For 4% federal applications only:</t>
  </si>
  <si>
    <t>Rural area consistent with CTCAC methodology</t>
  </si>
  <si>
    <t>II. APPLICATION - SECTION 6:  REQUIRED APPROVALS &amp; DEVELOPMENT TIMETABLE</t>
  </si>
  <si>
    <t>Project and Site Information</t>
  </si>
  <si>
    <t>Current Land Use Designation</t>
  </si>
  <si>
    <t>C-4 - CUP</t>
  </si>
  <si>
    <t>Current Zoning and Maximum Density</t>
  </si>
  <si>
    <t>Proposed Zoning and Maximum Density</t>
  </si>
  <si>
    <t>Occupancy restrictions that run with the land due to CUP’s or density bonuses?</t>
  </si>
  <si>
    <t>Subject to any affordable housing ordinances?</t>
  </si>
  <si>
    <t>Building Height Requirements</t>
  </si>
  <si>
    <t>75'</t>
  </si>
  <si>
    <t>Required Parking Ratio</t>
  </si>
  <si>
    <t>no parking requirements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</si>
  <si>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</si>
  <si>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</si>
  <si>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</si>
  <si>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</si>
  <si>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</si>
  <si>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</si>
  <si>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</si>
  <si>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</si>
  <si>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</si>
  <si>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</si>
  <si>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</si>
  <si>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</si>
  <si>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</si>
  <si>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</si>
  <si>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</si>
  <si>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</si>
  <si>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</si>
  <si>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</si>
  <si>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</si>
  <si>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</si>
  <si>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</si>
  <si>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</si>
  <si>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</si>
  <si>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</si>
  <si>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</si>
  <si>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</si>
  <si>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</si>
  <si>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</si>
  <si>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</si>
  <si>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(select)</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</si>
  <si>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</si>
  <si>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</si>
  <si>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</si>
  <si>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</si>
  <si>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</si>
  <si>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</si>
  <si>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</si>
  <si>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</si>
  <si>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</si>
  <si>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</si>
  <si>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</si>
  <si>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</si>
  <si>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</si>
  <si>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</si>
  <si>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</si>
  <si>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</si>
  <si>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</si>
  <si>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</si>
  <si>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</si>
  <si>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</si>
  <si>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</si>
  <si>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</si>
  <si>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</si>
  <si>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</si>
  <si>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</si>
  <si>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</si>
  <si>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</si>
  <si>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</si>
  <si>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</si>
  <si>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</si>
  <si>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</si>
  <si>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</si>
  <si>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</si>
  <si>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</si>
  <si>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</si>
  <si>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</si>
  <si>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</si>
  <si>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</si>
  <si>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</si>
  <si>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</si>
  <si>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</si>
  <si>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</si>
  <si>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Cal Bank &amp; Trust</t>
  </si>
  <si>
    <t>Fixed</t>
  </si>
  <si>
    <t xml:space="preserve">County - LACDA </t>
  </si>
  <si>
    <t>Deferred Developer Fee</t>
  </si>
  <si>
    <t>6)</t>
  </si>
  <si>
    <t>7)</t>
  </si>
  <si>
    <t>8)</t>
  </si>
  <si>
    <t>9)</t>
  </si>
  <si>
    <t>10)</t>
  </si>
  <si>
    <t>11)</t>
  </si>
  <si>
    <t>12)</t>
  </si>
  <si>
    <t>Total Funds For Construction:</t>
  </si>
  <si>
    <t>Lender/Source:</t>
  </si>
  <si>
    <t>1900 Avenue of the Stars, Ste 2350</t>
  </si>
  <si>
    <t>700 W Main St</t>
  </si>
  <si>
    <t>Los Angeles, CA 90067</t>
  </si>
  <si>
    <t>Alhambra</t>
  </si>
  <si>
    <t>Contact Name:</t>
  </si>
  <si>
    <t>Mark Wolf, Senior Vice President</t>
  </si>
  <si>
    <t>Beatriz Lopez</t>
  </si>
  <si>
    <t>Type of Financing:</t>
  </si>
  <si>
    <t>Construction Bond</t>
  </si>
  <si>
    <t>Is the Lender/Source Committed?</t>
  </si>
  <si>
    <t>9950 Jefferson Blvd Bldg 2</t>
  </si>
  <si>
    <t>Tax Credit Equity</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</si>
  <si>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</si>
  <si>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</si>
  <si>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</si>
  <si>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</si>
  <si>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</si>
  <si>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</si>
  <si>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</si>
  <si>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</si>
  <si>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</si>
  <si>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</si>
  <si>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</si>
  <si>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</si>
  <si>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</si>
  <si>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</si>
  <si>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</si>
  <si>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</si>
  <si>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</si>
  <si>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</si>
  <si>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</si>
  <si>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</si>
  <si>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</si>
  <si>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Required</t>
  </si>
  <si>
    <t>Residual</t>
  </si>
  <si>
    <t>Deferred</t>
  </si>
  <si>
    <t>TOTAL Manager BRs</t>
  </si>
  <si>
    <t>market rate</t>
  </si>
  <si>
    <t>Total Permanent Financing:</t>
  </si>
  <si>
    <t>Total Tax Credit Equity:</t>
  </si>
  <si>
    <t>Total Sources of Project Funds:</t>
  </si>
  <si>
    <t>TOTAL Market BEDROOMS</t>
  </si>
  <si>
    <t>TOTAL Market BRs</t>
  </si>
  <si>
    <t>TOTAL LI &amp; Market BRs</t>
  </si>
  <si>
    <t>Mark Wolf</t>
  </si>
  <si>
    <t>total sum for threshold basis limit</t>
  </si>
  <si>
    <t>Permanent Bond</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</si>
  <si>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</si>
  <si>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</si>
  <si>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</si>
  <si>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</si>
  <si>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</si>
  <si>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</si>
  <si>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</si>
  <si>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</si>
  <si>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</si>
  <si>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</si>
  <si>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</si>
  <si>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</si>
  <si>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</si>
  <si>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</si>
  <si>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</si>
  <si>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</si>
  <si>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</si>
  <si>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</si>
  <si>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</si>
  <si>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</si>
  <si>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</si>
  <si>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</si>
  <si>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</si>
  <si>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</si>
  <si>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</si>
  <si>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</si>
  <si>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</si>
  <si>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</si>
  <si>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</si>
  <si>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</si>
  <si>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</si>
  <si>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</si>
  <si>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</si>
  <si>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</si>
  <si>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</si>
  <si>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</si>
  <si>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</si>
  <si>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</si>
  <si>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</si>
  <si>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</si>
  <si>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</si>
  <si>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</si>
  <si>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</si>
  <si>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</si>
  <si>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</si>
  <si>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</si>
  <si>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</si>
  <si>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</si>
  <si>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</si>
  <si>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</si>
  <si>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</si>
  <si>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</si>
  <si>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</si>
  <si>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</si>
  <si>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</si>
  <si>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</si>
  <si>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</si>
  <si>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</si>
  <si>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</si>
  <si>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</si>
  <si>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</si>
  <si>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</si>
  <si>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</si>
  <si>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</si>
  <si>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</si>
  <si>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</si>
  <si>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</si>
  <si>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</si>
  <si>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</si>
  <si>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</si>
  <si>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</si>
  <si>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</si>
  <si>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</si>
  <si>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</si>
  <si>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</si>
  <si>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 xml:space="preserve">Office Expenses </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</si>
  <si>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</si>
  <si>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</si>
  <si>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</si>
  <si>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</si>
  <si>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</si>
  <si>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</si>
  <si>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</si>
  <si>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</si>
  <si>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</si>
  <si>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</si>
  <si>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</si>
  <si>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</si>
  <si>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</si>
  <si>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</si>
  <si>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</si>
  <si>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</si>
  <si>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</si>
  <si>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</si>
  <si>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</si>
  <si>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</si>
  <si>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</si>
  <si>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</si>
  <si>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</si>
  <si>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</si>
  <si>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</si>
  <si>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</si>
  <si>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</si>
  <si>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</si>
  <si>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</si>
  <si>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</si>
  <si>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</si>
  <si>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</si>
  <si>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</si>
  <si>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</si>
  <si>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</si>
  <si>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</si>
  <si>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</si>
  <si>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</si>
  <si>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</si>
  <si>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</si>
  <si>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</si>
  <si>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</si>
  <si>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</si>
  <si>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</si>
  <si>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</si>
  <si>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</si>
  <si>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</si>
  <si>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</si>
  <si>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</si>
  <si>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</si>
  <si>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</si>
  <si>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</si>
  <si>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</si>
  <si>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</si>
  <si>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</si>
  <si>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</si>
  <si>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</si>
  <si>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</si>
  <si>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</si>
  <si>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</si>
  <si>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</si>
  <si>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</si>
  <si>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</si>
  <si>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</si>
  <si>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</si>
  <si>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</si>
  <si>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</si>
  <si>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</si>
  <si>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</si>
  <si>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</si>
  <si>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LACDA</t>
  </si>
  <si>
    <t>If Section 8:</t>
  </si>
  <si>
    <t>Project-based vouchers (PBVs)</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</si>
  <si>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</si>
  <si>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</si>
  <si>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</si>
  <si>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</si>
  <si>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</si>
  <si>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</si>
  <si>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</si>
  <si>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</si>
  <si>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</si>
  <si>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</si>
  <si>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</si>
  <si>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</si>
  <si>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</si>
  <si>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</si>
  <si>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</si>
  <si>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</si>
  <si>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</si>
  <si>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</si>
  <si>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</si>
  <si>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</si>
  <si>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</si>
  <si>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</si>
  <si>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</si>
  <si>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</si>
  <si>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</si>
  <si>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</si>
  <si>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</si>
  <si>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</si>
  <si>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</si>
  <si>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</si>
  <si>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</si>
  <si>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</si>
  <si>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</si>
  <si>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</si>
  <si>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</si>
  <si>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</si>
  <si>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</si>
  <si>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</si>
  <si>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</si>
  <si>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</si>
  <si>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</si>
  <si>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</si>
  <si>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</si>
  <si>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</si>
  <si>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</si>
  <si>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</si>
  <si>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</si>
  <si>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</si>
  <si>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</si>
  <si>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</si>
  <si>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</si>
  <si>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</si>
  <si>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</si>
  <si>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</si>
  <si>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</si>
  <si>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</si>
  <si>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</si>
  <si>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</si>
  <si>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</si>
  <si>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</si>
  <si>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</si>
  <si>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</si>
  <si>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</si>
  <si>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</si>
  <si>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</si>
  <si>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</si>
  <si>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</si>
  <si>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</si>
  <si>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</si>
  <si>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</si>
  <si>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</si>
  <si>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</si>
  <si>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</si>
  <si>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</si>
  <si>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</si>
  <si>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</si>
  <si>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</si>
  <si>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</si>
  <si>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</si>
  <si>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</si>
  <si>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</si>
  <si>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</si>
  <si>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</si>
  <si>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</si>
  <si>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</si>
  <si>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</si>
  <si>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</si>
  <si>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</si>
  <si>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</si>
  <si>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</si>
  <si>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</si>
  <si>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</si>
  <si>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</si>
  <si>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</si>
  <si>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</si>
  <si>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</si>
  <si>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</si>
  <si>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</si>
  <si>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</si>
  <si>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</si>
  <si>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</si>
  <si>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</si>
  <si>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</si>
  <si>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</si>
  <si>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</si>
  <si>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</si>
  <si>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</si>
  <si>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</si>
  <si>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</si>
  <si>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</si>
  <si>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</si>
  <si>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</si>
  <si>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</si>
  <si>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</si>
  <si>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</si>
  <si>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</si>
  <si>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</si>
  <si>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</si>
  <si>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</si>
  <si>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</si>
  <si>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</si>
  <si>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</si>
  <si>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</si>
  <si>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</si>
  <si>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</si>
  <si>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</si>
  <si>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</si>
  <si>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</si>
  <si>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</si>
  <si>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</si>
  <si>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</si>
  <si>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</si>
  <si>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</si>
  <si>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</si>
  <si>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</si>
  <si>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</si>
  <si>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</si>
  <si>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</si>
  <si>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</si>
  <si>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</si>
  <si>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</si>
  <si>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</si>
  <si>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</si>
  <si>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</si>
  <si>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</si>
  <si>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</si>
  <si>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</si>
  <si>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</si>
  <si>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</si>
  <si>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</si>
  <si>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</si>
  <si>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</si>
  <si>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</si>
  <si>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</si>
  <si>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</si>
  <si>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</si>
  <si>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</si>
  <si>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</si>
  <si>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</si>
  <si>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</si>
  <si>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</si>
  <si>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</si>
  <si>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</si>
  <si>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</si>
  <si>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</si>
  <si>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</si>
  <si>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</si>
  <si>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</si>
  <si>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Deputy Inspection</t>
  </si>
  <si>
    <t>Other: Green &amp; ADA Consultant</t>
  </si>
  <si>
    <t>Other: Lease-Up Fee</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</si>
  <si>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</si>
  <si>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</si>
  <si>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</si>
  <si>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</si>
  <si>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</si>
  <si>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</si>
  <si>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</si>
  <si>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</si>
  <si>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</si>
  <si>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</si>
  <si>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</si>
  <si>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</si>
  <si>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</si>
  <si>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</si>
  <si>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</si>
  <si>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</si>
  <si>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</si>
  <si>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</si>
  <si>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</si>
  <si>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</si>
  <si>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</si>
  <si>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</si>
  <si>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</si>
  <si>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</si>
  <si>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</si>
  <si>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</si>
  <si>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</si>
  <si>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</si>
  <si>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</si>
  <si>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</si>
  <si>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</si>
  <si>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</si>
  <si>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</si>
  <si>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</si>
  <si>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</si>
  <si>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</si>
  <si>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</si>
  <si>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</si>
  <si>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Antonio Manning, ALA</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</si>
  <si>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</si>
  <si>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</si>
  <si>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</si>
  <si>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</si>
  <si>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</si>
  <si>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</si>
  <si>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</si>
  <si>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</si>
  <si>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</si>
  <si>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</si>
  <si>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</si>
  <si>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</si>
  <si>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</si>
  <si>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</si>
  <si>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</si>
  <si>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</si>
  <si>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</si>
  <si>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</si>
  <si>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</si>
  <si>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</si>
  <si>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</si>
  <si>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</si>
  <si>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</si>
  <si>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</si>
  <si>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</si>
  <si>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</si>
  <si>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</si>
  <si>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</si>
  <si>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</si>
  <si>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</si>
  <si>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</si>
  <si>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</si>
  <si>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</si>
  <si>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</si>
  <si>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</si>
  <si>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</si>
  <si>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</si>
  <si>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</si>
  <si>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</si>
  <si>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</si>
  <si>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</si>
  <si>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</si>
  <si>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</si>
  <si>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</si>
  <si>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</si>
  <si>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</si>
  <si>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</si>
  <si>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</si>
  <si>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</si>
  <si>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</si>
  <si>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</si>
  <si>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</si>
  <si>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</si>
  <si>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</si>
  <si>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</si>
  <si>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</si>
  <si>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10 Points</t>
  </si>
  <si>
    <t>A(1) General Partner Experience</t>
  </si>
  <si>
    <t>7 Points</t>
  </si>
  <si>
    <t>Affordable Living for the Aging Inc.</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</si>
  <si>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</si>
  <si>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</si>
  <si>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</si>
  <si>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</si>
  <si>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</si>
  <si>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</si>
  <si>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</si>
  <si>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</si>
  <si>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</si>
  <si>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</si>
  <si>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</si>
  <si>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</si>
  <si>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</si>
  <si>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</si>
  <si>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</si>
  <si>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</si>
  <si>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</si>
  <si>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</si>
  <si>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</si>
  <si>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</si>
  <si>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</si>
  <si>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</si>
  <si>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FPI Management Inc</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</si>
  <si>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</si>
  <si>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</si>
  <si>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</si>
  <si>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</si>
  <si>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</si>
  <si>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</si>
  <si>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</si>
  <si>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</si>
  <si>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</si>
  <si>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</si>
  <si>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</si>
  <si>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</si>
  <si>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</si>
  <si>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</si>
  <si>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</si>
  <si>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</si>
  <si>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</si>
  <si>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</si>
  <si>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</si>
  <si>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</si>
  <si>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</si>
  <si>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</si>
  <si>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</si>
  <si>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</si>
  <si>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</si>
  <si>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</si>
  <si>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</si>
  <si>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</si>
  <si>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</si>
  <si>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</si>
  <si>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</si>
  <si>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</si>
  <si>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</si>
  <si>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</si>
  <si>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</si>
  <si>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Not rural</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</si>
  <si>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</si>
  <si>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</si>
  <si>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</si>
  <si>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</si>
  <si>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</si>
  <si>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</si>
  <si>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</si>
  <si>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</si>
  <si>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</si>
  <si>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</si>
  <si>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</si>
  <si>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</si>
  <si>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</si>
  <si>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</si>
  <si>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</si>
  <si>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</si>
  <si>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</si>
  <si>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</si>
  <si>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</si>
  <si>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</si>
  <si>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</si>
  <si>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</si>
  <si>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</si>
  <si>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</si>
  <si>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</si>
  <si>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</si>
  <si>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</si>
  <si>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</si>
  <si>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</si>
  <si>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</si>
  <si>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</si>
  <si>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</si>
  <si>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</si>
  <si>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</si>
  <si>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</si>
  <si>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</si>
  <si>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</si>
  <si>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</si>
  <si>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</si>
  <si>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</si>
  <si>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</si>
  <si>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</si>
  <si>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</si>
  <si>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</si>
  <si>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</si>
  <si>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</si>
  <si>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</si>
  <si>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</si>
  <si>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</si>
  <si>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</si>
  <si>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</si>
  <si>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</si>
  <si>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</si>
  <si>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</si>
  <si>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</si>
  <si>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</si>
  <si>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</si>
  <si>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</si>
  <si>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</si>
  <si>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</si>
  <si>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</si>
  <si>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</si>
  <si>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</si>
  <si>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</si>
  <si>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</si>
  <si>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</si>
  <si>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</si>
  <si>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</si>
  <si>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</si>
  <si>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</si>
  <si>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</si>
  <si>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</si>
  <si>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</si>
  <si>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</si>
  <si>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</si>
  <si>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</si>
  <si>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</si>
  <si>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</si>
  <si>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</si>
  <si>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</si>
  <si>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Los Nietos Library</t>
  </si>
  <si>
    <t>Food4Less</t>
  </si>
  <si>
    <t>11644 Slauson Avenue</t>
  </si>
  <si>
    <t>7810 Norwalk Boulevard</t>
  </si>
  <si>
    <t>City, Zip</t>
  </si>
  <si>
    <t>Whittier, CA 90606</t>
  </si>
  <si>
    <t>562-940-8462</t>
  </si>
  <si>
    <t>562-699-3358</t>
  </si>
  <si>
    <t>Amenity Type:</t>
  </si>
  <si>
    <t>Website:</t>
  </si>
  <si>
    <t>https://lacountylibrary.org/los-nietos-library/</t>
  </si>
  <si>
    <t>https://www.food4less.com/stores/grocery/ca/whittier/santa-fe-springs-towne-center/704/00383</t>
  </si>
  <si>
    <t>Distance in miles:</t>
  </si>
  <si>
    <t xml:space="preserve">Sorensen Park </t>
  </si>
  <si>
    <t xml:space="preserve">CVS Pharmacy </t>
  </si>
  <si>
    <t>11419 Rosehedge Drive</t>
  </si>
  <si>
    <t>11426 Washington Boulevard</t>
  </si>
  <si>
    <t>562-908-7763</t>
  </si>
  <si>
    <t>562-695-4474</t>
  </si>
  <si>
    <t>https://parks.lacounty.gov/sorensen-park/</t>
  </si>
  <si>
    <t>https://www.cvs.com/store-locator/whittier-ca-pharmacies/11426-washington-blvd-washington-and-broadway-whittier-ca-90606/storeid=9852</t>
  </si>
  <si>
    <t>PIH Health Hospital - Whittier</t>
  </si>
  <si>
    <t>Ada S. Nelson Elementary School</t>
  </si>
  <si>
    <t>12404 E Washington Boulevard</t>
  </si>
  <si>
    <t>8140 South Vicki Drive</t>
  </si>
  <si>
    <t>Whittier, CA 90602</t>
  </si>
  <si>
    <t>562-698-0811</t>
  </si>
  <si>
    <t>562-692-0615</t>
  </si>
  <si>
    <t>https://www.pihhealth.org/find-a-location/locations-profile/pih-health-whittier-hospital/</t>
  </si>
  <si>
    <t>https://losnietosanes.losnietos.k12.ca.us/</t>
  </si>
  <si>
    <t>Los Nietos Middle School</t>
  </si>
  <si>
    <t xml:space="preserve">Pioneer High School </t>
  </si>
  <si>
    <t>11425 East Rivera Road</t>
  </si>
  <si>
    <t>10800 Benavon Street</t>
  </si>
  <si>
    <t>562-695-0637</t>
  </si>
  <si>
    <t>562-907-4205</t>
  </si>
  <si>
    <t>https://losnietosms.losnietos.k12.ca.us/index.jsp</t>
  </si>
  <si>
    <t>https://phs.wuhsd.org/</t>
  </si>
  <si>
    <t>Whittier College</t>
  </si>
  <si>
    <t>Sassfa - SFS Neighborhood Center</t>
  </si>
  <si>
    <t>13406 E. Philadelphia Street</t>
  </si>
  <si>
    <t>9255 Pioneer Boulevard</t>
  </si>
  <si>
    <t>Whittier, CA 90601</t>
  </si>
  <si>
    <t>Santa Fe Springs, CA 90670</t>
  </si>
  <si>
    <t>562-692-0261</t>
  </si>
  <si>
    <t>https://www.whittier.edu/</t>
  </si>
  <si>
    <t>www.sassfa.org</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</si>
  <si>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</si>
  <si>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</si>
  <si>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</si>
  <si>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</si>
  <si>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</si>
  <si>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</si>
  <si>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</si>
  <si>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</si>
  <si>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</si>
  <si>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</si>
  <si>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</si>
  <si>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</si>
  <si>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</si>
  <si>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</si>
  <si>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</si>
  <si>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</si>
  <si>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</si>
  <si>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</si>
  <si>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</si>
  <si>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</si>
  <si>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</si>
  <si>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</si>
  <si>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</si>
  <si>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</si>
  <si>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</si>
  <si>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</si>
  <si>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</si>
  <si>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</si>
  <si>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</si>
  <si>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</si>
  <si>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</si>
  <si>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</si>
  <si>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</si>
  <si>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</si>
  <si>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</si>
  <si>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</si>
  <si>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</si>
  <si>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</si>
  <si>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</si>
  <si>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</si>
  <si>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</si>
  <si>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</si>
  <si>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</si>
  <si>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</si>
  <si>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</si>
  <si>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</si>
  <si>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</si>
  <si>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</si>
  <si>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</si>
  <si>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</si>
  <si>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</si>
  <si>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</si>
  <si>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</si>
  <si>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</si>
  <si>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</si>
  <si>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</si>
  <si>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</si>
  <si>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</si>
  <si>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</si>
  <si>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</si>
  <si>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</si>
  <si>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</si>
  <si>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</si>
  <si>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</si>
  <si>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</si>
  <si>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</si>
  <si>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</si>
  <si>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</si>
  <si>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</si>
  <si>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</si>
  <si>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</si>
  <si>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</si>
  <si>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</si>
  <si>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</si>
  <si>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</si>
  <si>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</si>
  <si>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</si>
  <si>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</si>
  <si>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</si>
  <si>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</si>
  <si>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</si>
  <si>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</si>
  <si>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</si>
  <si>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</si>
  <si>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</si>
  <si>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</si>
  <si>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</si>
  <si>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</si>
  <si>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</si>
  <si>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</si>
  <si>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</si>
  <si>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</si>
  <si>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</si>
  <si>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</si>
  <si>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</si>
  <si>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</si>
  <si>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</si>
  <si>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</si>
  <si>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</si>
  <si>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</si>
  <si>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</si>
  <si>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</si>
  <si>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</si>
  <si>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</si>
  <si>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</si>
  <si>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</si>
  <si>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</si>
  <si>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</si>
  <si>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</si>
  <si>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</si>
  <si>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</si>
  <si>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</si>
  <si>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</si>
  <si>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</si>
  <si>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</si>
  <si>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</si>
  <si>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</si>
  <si>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</si>
  <si>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</si>
  <si>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</si>
  <si>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</si>
  <si>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</si>
  <si>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</si>
  <si>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</si>
  <si>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</si>
  <si>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</si>
  <si>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</si>
  <si>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</si>
  <si>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</si>
  <si>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</si>
  <si>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</si>
  <si>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</si>
  <si>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</si>
  <si>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</si>
  <si>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</si>
  <si>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</si>
  <si>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</si>
  <si>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</si>
  <si>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</si>
  <si>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</si>
  <si>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</si>
  <si>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</si>
  <si>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</si>
  <si>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</si>
  <si>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</si>
  <si>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</si>
  <si>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</si>
  <si>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</si>
  <si>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</si>
  <si>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</si>
  <si>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</si>
  <si>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</si>
  <si>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</si>
  <si>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</si>
  <si>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</si>
  <si>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</si>
  <si>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</si>
  <si>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</si>
  <si>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</si>
  <si>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</si>
  <si>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</si>
  <si>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</si>
  <si>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</si>
  <si>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</si>
  <si>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</si>
  <si>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</si>
  <si>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</si>
  <si>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</si>
  <si>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</si>
  <si>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</si>
  <si>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</si>
  <si>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</si>
  <si>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</si>
  <si>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</si>
  <si>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</si>
  <si>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</si>
  <si>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</si>
  <si>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</si>
  <si>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</si>
  <si>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</si>
  <si>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</si>
  <si>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</si>
  <si>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</si>
  <si>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</si>
  <si>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</si>
  <si>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</si>
  <si>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</si>
  <si>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</si>
  <si>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</si>
  <si>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</si>
  <si>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</si>
  <si>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</si>
  <si>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</si>
  <si>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</si>
  <si>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</si>
  <si>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</si>
  <si>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</si>
  <si>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</si>
  <si>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</si>
  <si>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</si>
  <si>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</si>
  <si>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</si>
  <si>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</si>
  <si>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</si>
  <si>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</si>
  <si>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</si>
  <si>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</si>
  <si>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</si>
  <si>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</si>
  <si>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</si>
  <si>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</si>
  <si>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</si>
  <si>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</si>
  <si>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</si>
  <si>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</si>
  <si>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</si>
  <si>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</si>
  <si>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</si>
  <si>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</si>
  <si>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</si>
  <si>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</si>
  <si>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</si>
  <si>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</si>
  <si>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</si>
  <si>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</si>
  <si>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</si>
  <si>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</si>
  <si>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</si>
  <si>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</si>
  <si>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</si>
  <si>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</si>
  <si>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</si>
  <si>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</si>
  <si>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</si>
  <si>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</si>
  <si>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</si>
  <si>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</si>
  <si>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</si>
  <si>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</si>
  <si>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</si>
  <si>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</si>
  <si>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</si>
  <si>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</si>
  <si>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</si>
  <si>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</si>
  <si>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</si>
  <si>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</si>
  <si>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</si>
  <si>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</si>
  <si>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</si>
  <si>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</si>
  <si>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</si>
  <si>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</si>
  <si>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</si>
  <si>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</si>
  <si>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</si>
  <si>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</si>
  <si>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</si>
  <si>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</si>
  <si>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</si>
  <si>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</si>
  <si>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</si>
  <si>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</si>
  <si>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</si>
  <si>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</si>
  <si>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</si>
  <si>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</si>
  <si>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</si>
  <si>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</si>
  <si>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</si>
  <si>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</si>
  <si>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</si>
  <si>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</si>
  <si>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</si>
  <si>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</si>
  <si>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</si>
  <si>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</si>
  <si>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</si>
  <si>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</si>
  <si>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</si>
  <si>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</si>
  <si>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</si>
  <si>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</si>
  <si>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</si>
  <si>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</si>
  <si>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</si>
  <si>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</si>
  <si>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</si>
  <si>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</si>
  <si>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</si>
  <si>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</si>
  <si>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</si>
  <si>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</si>
  <si>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</si>
  <si>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</si>
  <si>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</si>
  <si>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</si>
  <si>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</si>
  <si>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</si>
  <si>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</si>
  <si>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</si>
  <si>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</si>
  <si>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</si>
  <si>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</si>
  <si>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</si>
  <si>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</si>
  <si>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</si>
  <si>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</si>
  <si>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</si>
  <si>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</si>
  <si>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</si>
  <si>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</si>
  <si>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</si>
  <si>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</si>
  <si>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</si>
  <si>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</si>
  <si>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</si>
  <si>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</si>
  <si>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</si>
  <si>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</si>
  <si>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</si>
  <si>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</si>
  <si>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</si>
  <si>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</si>
  <si>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</si>
  <si>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</si>
  <si>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</si>
  <si>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</si>
  <si>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</si>
  <si>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</si>
  <si>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</si>
  <si>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</si>
  <si>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</si>
  <si>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</si>
  <si>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</si>
  <si>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</si>
  <si>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</si>
  <si>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</si>
  <si>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</si>
  <si>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</si>
  <si>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</si>
  <si>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</si>
  <si>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</si>
  <si>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</si>
  <si>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</si>
  <si>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</si>
  <si>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</si>
  <si>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</si>
  <si>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</si>
  <si>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</si>
  <si>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</si>
  <si>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</si>
  <si>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</si>
  <si>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</si>
  <si>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</si>
  <si>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</si>
  <si>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</si>
  <si>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</si>
  <si>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</si>
  <si>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</si>
  <si>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</si>
  <si>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</si>
  <si>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</si>
  <si>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</si>
  <si>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</si>
  <si>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</si>
  <si>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</si>
  <si>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</si>
  <si>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</si>
  <si>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</si>
  <si>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</si>
  <si>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</si>
  <si>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</si>
  <si>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</si>
  <si>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</si>
  <si>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</si>
  <si>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</si>
  <si>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</si>
  <si>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</si>
  <si>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</si>
  <si>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</si>
  <si>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</si>
  <si>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</si>
  <si>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</si>
  <si>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</si>
  <si>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</si>
  <si>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</si>
  <si>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</si>
  <si>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</si>
  <si>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</si>
  <si>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</si>
  <si>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</si>
  <si>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</si>
  <si>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</si>
  <si>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</si>
  <si>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</si>
  <si>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</si>
  <si>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</si>
  <si>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</si>
  <si>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</si>
  <si>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</si>
  <si>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</si>
  <si>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</si>
  <si>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</si>
  <si>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</si>
  <si>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</si>
  <si>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</si>
  <si>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</si>
  <si>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</si>
  <si>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</si>
  <si>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</si>
  <si>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</si>
  <si>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</si>
  <si>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</si>
  <si>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</si>
  <si>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</si>
  <si>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Cal Bank Trust</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</si>
  <si>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</si>
  <si>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</si>
  <si>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</si>
  <si>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</si>
  <si>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</si>
  <si>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</si>
  <si>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</si>
  <si>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</si>
  <si>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</si>
  <si>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</si>
  <si>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</si>
  <si>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</si>
  <si>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</si>
  <si>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</si>
  <si>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</si>
  <si>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</si>
  <si>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</si>
  <si>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</si>
  <si>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</si>
  <si>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</si>
  <si>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</si>
  <si>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</si>
  <si>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</si>
  <si>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</si>
  <si>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</si>
  <si>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</si>
  <si>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</si>
  <si>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</si>
  <si>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</si>
  <si>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</si>
  <si>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</si>
  <si>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</si>
  <si>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</si>
  <si>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</si>
  <si>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</si>
  <si>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</si>
  <si>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</si>
  <si>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</si>
  <si>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</si>
  <si>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</si>
  <si>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</si>
  <si>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</si>
  <si>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</si>
  <si>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</si>
  <si>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</si>
  <si>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</si>
  <si>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</si>
  <si>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</si>
  <si>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</si>
  <si>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</si>
  <si>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</si>
  <si>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</si>
  <si>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</si>
  <si>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</si>
  <si>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</si>
  <si>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</si>
  <si>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</si>
  <si>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</si>
  <si>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</si>
  <si>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</si>
  <si>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</si>
  <si>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</si>
  <si>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</si>
  <si>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</si>
  <si>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11330-11350 Washington Blvd. (aka 8023 Broadway Avenue)</t>
  </si>
  <si>
    <t>55+</t>
  </si>
  <si>
    <t>Partnership between Primestor Development &amp; ALA</t>
  </si>
  <si>
    <t>See Explanation</t>
  </si>
  <si>
    <t>Dec., 2021</t>
  </si>
  <si>
    <t>w/disabilities. Balance Seniors/Vet, some of whom maybe disabled</t>
  </si>
  <si>
    <t xml:space="preserve">Seniors (55+) non-homeless or veteran seniors </t>
  </si>
  <si>
    <t>C-4 - 80 du</t>
  </si>
  <si>
    <t>CUP as entitled - 80 du</t>
  </si>
  <si>
    <t>(if yes, explain here) 100% affordable at 80% AMI or below</t>
  </si>
  <si>
    <t>LA County Development Authority</t>
  </si>
  <si>
    <t>Los Angeles County Development Authority (LACDA), 07-01-22</t>
  </si>
  <si>
    <t>OWNER</t>
  </si>
  <si>
    <t>Third Party Maintenance Contract</t>
  </si>
  <si>
    <t>County of Los Angeles Development Authority (LACDA) funding</t>
  </si>
  <si>
    <t>Other: Lender/ Transaction</t>
  </si>
  <si>
    <t>8023 Broadway Avenue is the proposed project address but has not yet been established by the post office and will be designated upon issuance of permits</t>
  </si>
  <si>
    <t>trapazoid - square footage is 26,354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</si>
</sst>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8"/>
      <color theme="3"/>
      <name val="Cambri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9555">
    <xf numFmtId="0" fontId="0" fillId="0" borderId="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78"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8" fillId="36" borderId="0" applyNumberFormat="0" applyBorder="0" applyAlignment="0" applyProtection="0"/>
    <xf numFmtId="0" fontId="78" fillId="37" borderId="0" applyNumberFormat="0" applyBorder="0" applyAlignment="0" applyProtection="0"/>
    <xf numFmtId="0" fontId="79" fillId="38" borderId="0" applyNumberFormat="0" applyBorder="0" applyAlignment="0" applyProtection="0"/>
    <xf numFmtId="0" fontId="79" fillId="38" borderId="0" applyNumberFormat="0" applyBorder="0" applyAlignment="0" applyProtection="0"/>
    <xf numFmtId="0" fontId="80" fillId="39" borderId="33" applyNumberFormat="0" applyAlignment="0" applyProtection="0"/>
    <xf numFmtId="0" fontId="80" fillId="39" borderId="33" applyNumberFormat="0" applyAlignment="0" applyProtection="0"/>
    <xf numFmtId="0" fontId="81" fillId="40" borderId="34"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55" fillId="0" borderId="0" applyFont="0" applyFill="0" applyBorder="0" applyAlignment="0" applyProtection="0"/>
    <xf numFmtId="43" fontId="13" fillId="0" borderId="0" applyFont="0" applyFill="0" applyBorder="0" applyAlignment="0" applyProtection="0"/>
    <xf numFmtId="43" fontId="55" fillId="0" borderId="0" applyFont="0" applyFill="0" applyBorder="0" applyAlignment="0" applyProtection="0"/>
    <xf numFmtId="44" fontId="4"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6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6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82" fillId="0" borderId="0" applyNumberFormat="0" applyFill="0" applyBorder="0" applyAlignment="0" applyProtection="0"/>
    <xf numFmtId="0" fontId="83" fillId="41" borderId="0" applyNumberFormat="0" applyBorder="0" applyAlignment="0" applyProtection="0"/>
    <xf numFmtId="0" fontId="84" fillId="0" borderId="35" applyNumberFormat="0" applyFill="0" applyAlignment="0" applyProtection="0"/>
    <xf numFmtId="0" fontId="84" fillId="0" borderId="35" applyNumberFormat="0" applyFill="0" applyAlignment="0" applyProtection="0"/>
    <xf numFmtId="0" fontId="85" fillId="0" borderId="36" applyNumberFormat="0" applyFill="0" applyAlignment="0" applyProtection="0"/>
    <xf numFmtId="0" fontId="85" fillId="0" borderId="36" applyNumberFormat="0" applyFill="0" applyAlignment="0" applyProtection="0"/>
    <xf numFmtId="0" fontId="86" fillId="0" borderId="37" applyNumberFormat="0" applyFill="0" applyAlignment="0" applyProtection="0"/>
    <xf numFmtId="0" fontId="86" fillId="0" borderId="37"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0" fillId="0" borderId="0" applyNumberFormat="0" applyFill="0" applyBorder="0" applyAlignment="0" applyProtection="0">
      <alignment vertical="top"/>
      <protection locked="0"/>
    </xf>
    <xf numFmtId="0" fontId="8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88" fillId="0" borderId="38" applyNumberFormat="0" applyFill="0" applyAlignment="0" applyProtection="0"/>
    <xf numFmtId="0" fontId="89" fillId="43" borderId="0" applyNumberFormat="0" applyBorder="0" applyAlignment="0" applyProtection="0"/>
    <xf numFmtId="0" fontId="90" fillId="0" borderId="0"/>
    <xf numFmtId="0" fontId="55" fillId="0" borderId="0"/>
    <xf numFmtId="0" fontId="90" fillId="0" borderId="0"/>
    <xf numFmtId="0" fontId="55" fillId="0" borderId="0"/>
    <xf numFmtId="0" fontId="55" fillId="0" borderId="0"/>
    <xf numFmtId="0" fontId="13" fillId="0" borderId="0"/>
    <xf numFmtId="0" fontId="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1" fillId="0" borderId="0"/>
    <xf numFmtId="0" fontId="55" fillId="0" borderId="0"/>
    <xf numFmtId="170" fontId="56" fillId="0" borderId="0"/>
    <xf numFmtId="0" fontId="77" fillId="0" borderId="0"/>
    <xf numFmtId="0" fontId="13" fillId="0" borderId="0"/>
    <xf numFmtId="0" fontId="13" fillId="0" borderId="0"/>
    <xf numFmtId="0" fontId="61" fillId="0" borderId="0"/>
    <xf numFmtId="0" fontId="55" fillId="0" borderId="0"/>
    <xf numFmtId="0" fontId="61" fillId="0" borderId="0"/>
    <xf numFmtId="0" fontId="13" fillId="0" borderId="0"/>
    <xf numFmtId="0" fontId="55" fillId="0" borderId="0"/>
    <xf numFmtId="0" fontId="64" fillId="0" borderId="0"/>
    <xf numFmtId="0" fontId="55"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4" fillId="0" borderId="0"/>
    <xf numFmtId="0" fontId="77" fillId="0" borderId="0"/>
    <xf numFmtId="0" fontId="77" fillId="0" borderId="0"/>
    <xf numFmtId="0" fontId="77"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5" fillId="0" borderId="0"/>
    <xf numFmtId="0" fontId="77" fillId="0" borderId="0"/>
    <xf numFmtId="0" fontId="77" fillId="0" borderId="0"/>
    <xf numFmtId="0" fontId="77" fillId="0" borderId="0"/>
    <xf numFmtId="0" fontId="77" fillId="0" borderId="0"/>
    <xf numFmtId="0" fontId="64" fillId="0" borderId="0"/>
    <xf numFmtId="0" fontId="55" fillId="0" borderId="0">
      <alignment vertical="top"/>
    </xf>
    <xf numFmtId="0" fontId="77" fillId="0" borderId="0"/>
    <xf numFmtId="0" fontId="77" fillId="0" borderId="0"/>
    <xf numFmtId="0" fontId="77" fillId="0" borderId="0"/>
    <xf numFmtId="0" fontId="77" fillId="0" borderId="0"/>
    <xf numFmtId="0" fontId="64" fillId="0" borderId="0"/>
    <xf numFmtId="0" fontId="13" fillId="0" borderId="0"/>
    <xf numFmtId="0" fontId="77" fillId="0" borderId="0"/>
    <xf numFmtId="0" fontId="13" fillId="0" borderId="0"/>
    <xf numFmtId="0" fontId="77" fillId="0" borderId="0"/>
    <xf numFmtId="0" fontId="77" fillId="0" borderId="0"/>
    <xf numFmtId="0" fontId="77" fillId="0" borderId="0"/>
    <xf numFmtId="0" fontId="77"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61" fillId="0" borderId="0"/>
    <xf numFmtId="0" fontId="61" fillId="0" borderId="0"/>
    <xf numFmtId="0" fontId="77" fillId="0" borderId="0"/>
    <xf numFmtId="0" fontId="55"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 fillId="0" borderId="0"/>
    <xf numFmtId="0" fontId="55" fillId="0" borderId="0">
      <alignment vertical="top"/>
    </xf>
    <xf numFmtId="0" fontId="77" fillId="0" borderId="0"/>
    <xf numFmtId="0" fontId="77" fillId="0" borderId="0"/>
    <xf numFmtId="0" fontId="77" fillId="0" borderId="0"/>
    <xf numFmtId="0" fontId="77" fillId="0" borderId="0"/>
    <xf numFmtId="0" fontId="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1"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 fillId="0" borderId="0"/>
    <xf numFmtId="0" fontId="77" fillId="0" borderId="0"/>
    <xf numFmtId="0" fontId="77" fillId="0" borderId="0"/>
    <xf numFmtId="0" fontId="77" fillId="0" borderId="0"/>
    <xf numFmtId="0" fontId="4" fillId="0" borderId="0" applyProtection="0">
      <protection locked="0"/>
    </xf>
    <xf numFmtId="0" fontId="13" fillId="0" borderId="0" applyProtection="0">
      <protection locked="0"/>
    </xf>
    <xf numFmtId="0" fontId="13" fillId="0" borderId="0" applyProtection="0">
      <protection locked="0"/>
    </xf>
    <xf numFmtId="0" fontId="56" fillId="0" borderId="0"/>
    <xf numFmtId="0" fontId="4" fillId="0" borderId="0"/>
    <xf numFmtId="0" fontId="13" fillId="0" borderId="0"/>
    <xf numFmtId="0" fontId="6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6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77" fillId="44" borderId="39" applyNumberFormat="0" applyFont="0" applyAlignment="0" applyProtection="0"/>
    <xf numFmtId="0" fontId="92" fillId="39" borderId="40" applyNumberFormat="0" applyAlignment="0" applyProtection="0"/>
    <xf numFmtId="0" fontId="92" fillId="39" borderId="40" applyNumberFormat="0" applyAlignment="0" applyProtection="0"/>
    <xf numFmtId="0" fontId="9" fillId="0" borderId="0" applyNumberFormat="0" applyFill="0" applyBorder="0">
      <alignment horizontal="left"/>
    </xf>
    <xf numFmtId="0" fontId="93" fillId="0" borderId="0" applyNumberFormat="0" applyFill="0" applyBorder="0" applyAlignment="0" applyProtection="0"/>
    <xf numFmtId="0" fontId="94" fillId="0" borderId="41" applyNumberFormat="0" applyFill="0" applyAlignment="0" applyProtection="0"/>
    <xf numFmtId="0" fontId="94" fillId="0" borderId="41" applyNumberFormat="0" applyFill="0" applyAlignment="0" applyProtection="0"/>
    <xf numFmtId="0" fontId="95" fillId="0" borderId="0" applyNumberFormat="0" applyFill="0" applyBorder="0" applyAlignment="0" applyProtection="0"/>
    <xf numFmtId="9" fontId="10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4"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67" fillId="44" borderId="39" applyNumberFormat="0" applyFont="0" applyAlignment="0" applyProtection="0"/>
    <xf numFmtId="0" fontId="13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93" fillId="0" borderId="0" applyNumberForma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4"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1862">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0"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29" fillId="0" borderId="0" xfId="0" applyFont="1"/>
    <xf numFmtId="0" fontId="10" fillId="0" borderId="0" xfId="0" applyFont="1" applyAlignment="1">
      <alignment horizontal="center" vertical="center"/>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2" fillId="0" borderId="0" xfId="0" applyFont="1" applyAlignment="1">
      <alignment horizontal="left"/>
    </xf>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49" fontId="4" fillId="0" borderId="0" xfId="546" applyNumberFormat="1"/>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4" fillId="0" borderId="0" xfId="546" applyAlignment="1">
      <alignment horizontal="center"/>
    </xf>
    <xf numFmtId="0" fontId="12" fillId="0" borderId="5" xfId="546" applyFont="1" applyBorder="1" applyAlignment="1">
      <alignment vertical="top" wrapText="1"/>
    </xf>
    <xf numFmtId="0" fontId="25" fillId="0" borderId="0" xfId="0" applyFont="1"/>
    <xf numFmtId="0" fontId="26"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2" fillId="0" borderId="6" xfId="0" applyFont="1" applyBorder="1" applyAlignment="1">
      <alignment horizontal="left" vertical="top" wrapText="1"/>
    </xf>
    <xf numFmtId="0" fontId="12" fillId="0" borderId="6" xfId="0" applyFont="1" applyBorder="1"/>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21" fillId="0" borderId="6" xfId="0" applyFont="1" applyBorder="1"/>
    <xf numFmtId="0" fontId="21" fillId="0" borderId="0" xfId="0" applyFont="1" applyAlignment="1">
      <alignment horizontal="right"/>
    </xf>
    <xf numFmtId="0" fontId="26"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7" fillId="0" borderId="0" xfId="0" applyFont="1"/>
    <xf numFmtId="0" fontId="12" fillId="0" borderId="0" xfId="0" applyFont="1" applyAlignment="1">
      <alignment horizontal="left" vertical="top" wrapText="1" shrinkToFit="1"/>
    </xf>
    <xf numFmtId="0" fontId="27"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28" fillId="0" borderId="0" xfId="0" applyFont="1"/>
    <xf numFmtId="0" fontId="12" fillId="0" borderId="0" xfId="0" quotePrefix="1" applyFont="1"/>
    <xf numFmtId="0" fontId="11" fillId="0" borderId="0" xfId="0" applyFont="1" applyAlignment="1">
      <alignment horizontal="left" vertical="top"/>
    </xf>
    <xf numFmtId="0" fontId="31"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1"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6" fillId="0" borderId="0" xfId="0" applyFont="1" applyAlignment="1">
      <alignment horizontal="left" vertical="top"/>
    </xf>
    <xf numFmtId="0" fontId="26"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3"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1" fontId="12" fillId="0" borderId="0" xfId="0" applyNumberFormat="1" applyFont="1" applyAlignment="1">
      <alignment horizontal="center" vertical="top"/>
    </xf>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0" fontId="4" fillId="0" borderId="0" xfId="0" applyFont="1" applyAlignment="1">
      <alignment horizontal="left" vertical="top" wrapText="1"/>
    </xf>
    <xf numFmtId="49" fontId="12" fillId="0" borderId="0" xfId="0" applyNumberFormat="1" applyFont="1" applyAlignment="1">
      <alignment vertical="top"/>
    </xf>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1" fillId="0" borderId="3" xfId="0" applyFont="1" applyBorder="1" applyAlignment="1">
      <alignment horizontal="left" vertical="top"/>
    </xf>
    <xf numFmtId="0" fontId="41" fillId="0" borderId="15" xfId="0" applyFont="1" applyBorder="1" applyAlignment="1">
      <alignment horizontal="center" wrapText="1"/>
    </xf>
    <xf numFmtId="0" fontId="41" fillId="0" borderId="15" xfId="0" applyFont="1" applyBorder="1" applyAlignment="1">
      <alignment horizontal="center" vertical="top" wrapText="1"/>
    </xf>
    <xf numFmtId="0" fontId="41" fillId="2" borderId="15" xfId="0" applyFont="1" applyFill="1" applyBorder="1" applyAlignment="1">
      <alignment horizontal="center" wrapText="1"/>
    </xf>
    <xf numFmtId="0" fontId="42" fillId="2" borderId="12" xfId="0" applyFont="1" applyFill="1" applyBorder="1" applyAlignment="1">
      <alignment horizontal="left" vertical="top" wrapText="1"/>
    </xf>
    <xf numFmtId="0" fontId="25" fillId="6" borderId="12" xfId="0" applyFont="1" applyFill="1" applyBorder="1" applyAlignment="1">
      <alignment vertical="top" wrapText="1"/>
    </xf>
    <xf numFmtId="0" fontId="25" fillId="2" borderId="12" xfId="0" applyFont="1" applyFill="1" applyBorder="1" applyAlignment="1">
      <alignment vertical="top" wrapText="1"/>
    </xf>
    <xf numFmtId="0" fontId="25" fillId="0" borderId="12" xfId="0" applyFont="1" applyBorder="1" applyAlignment="1">
      <alignment vertical="top" wrapText="1"/>
    </xf>
    <xf numFmtId="0" fontId="25" fillId="0" borderId="12" xfId="0" applyFont="1" applyBorder="1" applyAlignment="1">
      <alignment horizontal="right" vertical="top" wrapText="1"/>
    </xf>
    <xf numFmtId="169" fontId="25" fillId="0" borderId="12" xfId="0" applyNumberFormat="1" applyFont="1" applyBorder="1" applyAlignment="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lignment horizontal="center" vertical="top" wrapText="1"/>
    </xf>
    <xf numFmtId="0" fontId="41" fillId="0" borderId="12" xfId="0" applyFont="1" applyBorder="1" applyAlignment="1">
      <alignment horizontal="right" vertical="top" wrapText="1"/>
    </xf>
    <xf numFmtId="169" fontId="41" fillId="0" borderId="12" xfId="0" applyNumberFormat="1" applyFont="1" applyBorder="1" applyAlignment="1">
      <alignment vertical="top" wrapText="1"/>
    </xf>
    <xf numFmtId="169" fontId="25" fillId="6" borderId="12" xfId="0" applyNumberFormat="1" applyFont="1" applyFill="1" applyBorder="1" applyAlignment="1">
      <alignment vertical="top" wrapText="1"/>
    </xf>
    <xf numFmtId="0" fontId="25" fillId="7" borderId="12" xfId="0" applyFont="1" applyFill="1" applyBorder="1" applyAlignment="1" applyProtection="1">
      <alignment horizontal="right" vertical="top" wrapText="1"/>
      <protection locked="0"/>
    </xf>
    <xf numFmtId="0" fontId="41" fillId="2" borderId="12" xfId="0" applyFont="1" applyFill="1" applyBorder="1" applyAlignment="1">
      <alignment vertical="top" wrapText="1"/>
    </xf>
    <xf numFmtId="0" fontId="41" fillId="0" borderId="12" xfId="0" applyFont="1" applyBorder="1" applyAlignment="1">
      <alignment vertical="top" wrapText="1"/>
    </xf>
    <xf numFmtId="0" fontId="7" fillId="0" borderId="12" xfId="0" applyFont="1" applyBorder="1" applyAlignment="1">
      <alignment horizontal="right" vertical="top" wrapText="1"/>
    </xf>
    <xf numFmtId="0" fontId="25" fillId="0" borderId="12" xfId="0" applyFont="1" applyBorder="1" applyAlignment="1" applyProtection="1">
      <alignment horizontal="right" vertical="top" wrapText="1"/>
      <protection locked="0"/>
    </xf>
    <xf numFmtId="0" fontId="41" fillId="0" borderId="0" xfId="0" applyFont="1" applyAlignment="1">
      <alignment horizontal="left" vertical="top"/>
    </xf>
    <xf numFmtId="0" fontId="25" fillId="0" borderId="0" xfId="0" applyFont="1" applyAlignment="1">
      <alignment horizontal="left" vertical="top"/>
    </xf>
    <xf numFmtId="0" fontId="25" fillId="0" borderId="0" xfId="0" applyFont="1" applyAlignment="1">
      <alignment vertical="top" wrapText="1"/>
    </xf>
    <xf numFmtId="0" fontId="25" fillId="0" borderId="0" xfId="0" applyFont="1" applyAlignment="1">
      <alignment vertical="top"/>
    </xf>
    <xf numFmtId="0" fontId="41" fillId="0" borderId="0" xfId="0" applyFont="1" applyAlignment="1">
      <alignment horizontal="right" vertical="top"/>
    </xf>
    <xf numFmtId="0" fontId="25" fillId="2" borderId="0" xfId="0" applyFont="1" applyFill="1" applyAlignment="1">
      <alignment vertical="top" wrapText="1"/>
    </xf>
    <xf numFmtId="0" fontId="41" fillId="0" borderId="0" xfId="0" applyFont="1" applyAlignment="1">
      <alignment vertical="top"/>
    </xf>
    <xf numFmtId="0" fontId="25" fillId="0" borderId="15" xfId="0" applyFont="1" applyBorder="1" applyAlignment="1">
      <alignment vertical="top" wrapText="1"/>
    </xf>
    <xf numFmtId="0" fontId="4"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5" fillId="0" borderId="0" xfId="0" applyNumberFormat="1" applyFont="1" applyAlignment="1">
      <alignment horizontal="center"/>
    </xf>
    <xf numFmtId="0" fontId="35" fillId="0" borderId="0" xfId="0" applyFont="1"/>
    <xf numFmtId="0" fontId="4" fillId="0" borderId="0" xfId="0" applyFont="1" applyAlignment="1">
      <alignment horizontal="left"/>
    </xf>
    <xf numFmtId="0" fontId="39"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46" fillId="0" borderId="0" xfId="0" applyFont="1" applyAlignment="1">
      <alignment wrapText="1"/>
    </xf>
    <xf numFmtId="0" fontId="46"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1" fillId="0" borderId="16" xfId="0" applyFont="1" applyBorder="1" applyAlignment="1">
      <alignment horizontal="right"/>
    </xf>
    <xf numFmtId="0" fontId="9" fillId="0" borderId="0" xfId="0" applyFont="1" applyProtection="1">
      <protection locked="0"/>
    </xf>
    <xf numFmtId="4" fontId="39" fillId="0" borderId="0" xfId="0" applyNumberFormat="1" applyFont="1" applyAlignment="1">
      <alignment horizontal="center"/>
    </xf>
    <xf numFmtId="0" fontId="25" fillId="2" borderId="10" xfId="0" applyFont="1" applyFill="1" applyBorder="1" applyAlignment="1">
      <alignment vertical="top" wrapText="1"/>
    </xf>
    <xf numFmtId="0" fontId="25" fillId="2" borderId="8" xfId="0" applyFont="1" applyFill="1" applyBorder="1" applyAlignment="1">
      <alignment vertical="top" wrapText="1"/>
    </xf>
    <xf numFmtId="0" fontId="43" fillId="0" borderId="15" xfId="0" applyFont="1" applyBorder="1" applyAlignment="1">
      <alignment vertical="top" wrapText="1"/>
    </xf>
    <xf numFmtId="0" fontId="53"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52" fillId="0" borderId="12" xfId="0" applyFont="1" applyBorder="1" applyAlignment="1">
      <alignment horizontal="right" vertical="top" wrapText="1"/>
    </xf>
    <xf numFmtId="0" fontId="54" fillId="0" borderId="12" xfId="0" applyFont="1" applyBorder="1" applyAlignment="1">
      <alignment horizontal="right" vertical="top" wrapText="1"/>
    </xf>
    <xf numFmtId="0" fontId="0" fillId="0" borderId="0" xfId="0" applyAlignment="1">
      <alignment wrapText="1"/>
    </xf>
    <xf numFmtId="0" fontId="39" fillId="0" borderId="0" xfId="0" applyFont="1" applyAlignment="1">
      <alignment horizontal="center" vertical="top"/>
    </xf>
    <xf numFmtId="0" fontId="10" fillId="0" borderId="0" xfId="0" applyFont="1" applyAlignment="1">
      <alignment horizontal="center" vertical="center" wrapText="1"/>
    </xf>
    <xf numFmtId="0" fontId="41" fillId="0" borderId="4" xfId="0" applyFont="1" applyBorder="1" applyAlignment="1">
      <alignment horizontal="right"/>
    </xf>
    <xf numFmtId="0" fontId="55"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0" fontId="4" fillId="0" borderId="0" xfId="542" applyProtection="1"/>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36" fillId="2" borderId="12" xfId="0" applyFont="1" applyFill="1" applyBorder="1" applyAlignment="1">
      <alignment horizontal="lef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1" fillId="0" borderId="3" xfId="0" applyFont="1" applyBorder="1" applyAlignment="1">
      <alignment horizontal="left" vertical="top"/>
    </xf>
    <xf numFmtId="0" fontId="0" fillId="0" borderId="0" xfId="0" applyProtection="1">
      <protection locked="0"/>
    </xf>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45"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172" fontId="4" fillId="0" borderId="0" xfId="546" applyNumberFormat="1"/>
    <xf numFmtId="0" fontId="18" fillId="0" borderId="0" xfId="0" applyFont="1" applyAlignment="1">
      <alignment vertical="top" wrapText="1"/>
    </xf>
    <xf numFmtId="0" fontId="39" fillId="0" borderId="0" xfId="0" applyFont="1" applyAlignment="1">
      <alignment horizontal="center" vertical="center"/>
    </xf>
    <xf numFmtId="49" fontId="11" fillId="0" borderId="0" xfId="0" applyNumberFormat="1" applyFont="1" applyAlignment="1">
      <alignment horizontal="center"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59"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49" fillId="0" borderId="0" xfId="273" applyFont="1"/>
    <xf numFmtId="169" fontId="9" fillId="0" borderId="0" xfId="273" applyNumberFormat="1" applyFont="1"/>
    <xf numFmtId="10" fontId="9" fillId="0" borderId="0" xfId="273" applyNumberFormat="1" applyFont="1" applyAlignment="1">
      <alignment horizontal="center"/>
    </xf>
    <xf numFmtId="3" fontId="62" fillId="0" borderId="0" xfId="273" applyNumberFormat="1" applyFont="1"/>
    <xf numFmtId="3" fontId="9" fillId="0" borderId="0" xfId="273" applyNumberFormat="1" applyFont="1"/>
    <xf numFmtId="169" fontId="49" fillId="0" borderId="0" xfId="273" applyNumberFormat="1" applyFont="1"/>
    <xf numFmtId="169" fontId="49"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4" fillId="0" borderId="0" xfId="0" applyFont="1" applyAlignment="1">
      <alignment horizontal="right" vertical="top"/>
    </xf>
    <xf numFmtId="0" fontId="4" fillId="0" borderId="13" xfId="0" applyFont="1" applyBorder="1" applyAlignment="1">
      <alignment horizontal="right" vertical="top"/>
    </xf>
    <xf numFmtId="169" fontId="25" fillId="0" borderId="0" xfId="0" applyNumberFormat="1" applyFont="1" applyAlignment="1">
      <alignment vertical="top" wrapText="1"/>
    </xf>
    <xf numFmtId="169" fontId="4" fillId="0" borderId="4" xfId="0" applyNumberFormat="1" applyFont="1" applyBorder="1" applyAlignment="1">
      <alignment vertical="top"/>
    </xf>
    <xf numFmtId="169" fontId="4" fillId="0" borderId="8" xfId="0" applyNumberFormat="1" applyFont="1" applyBorder="1" applyAlignment="1">
      <alignment vertical="top"/>
    </xf>
    <xf numFmtId="169" fontId="4" fillId="0" borderId="0" xfId="0" applyNumberFormat="1" applyFont="1" applyAlignment="1">
      <alignment vertical="top"/>
    </xf>
    <xf numFmtId="0" fontId="0" fillId="7" borderId="4" xfId="0" applyFill="1" applyBorder="1" applyAlignment="1" applyProtection="1">
      <alignment horizontal="left"/>
      <protection locked="0"/>
    </xf>
    <xf numFmtId="0" fontId="4" fillId="7" borderId="4" xfId="0" applyFont="1" applyFill="1" applyBorder="1" applyAlignment="1" applyProtection="1">
      <alignment horizontal="left" vertical="top"/>
      <protection locked="0"/>
    </xf>
    <xf numFmtId="0" fontId="4" fillId="7" borderId="8" xfId="0" applyFont="1" applyFill="1" applyBorder="1" applyAlignment="1" applyProtection="1">
      <alignment horizontal="left" vertical="top"/>
      <protection locked="0"/>
    </xf>
    <xf numFmtId="0" fontId="35"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169" fontId="13" fillId="0" borderId="7" xfId="273" applyNumberFormat="1" applyBorder="1" applyAlignment="1">
      <alignment vertical="top"/>
    </xf>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 fontId="11" fillId="0" borderId="12" xfId="0" applyNumberFormat="1" applyFont="1" applyBorder="1"/>
    <xf numFmtId="165" fontId="11" fillId="0" borderId="12" xfId="0" applyNumberFormat="1" applyFont="1" applyBorder="1"/>
    <xf numFmtId="0" fontId="25" fillId="0" borderId="12" xfId="0" applyFont="1" applyBorder="1" applyAlignment="1">
      <alignment horizontal="right" vertical="top"/>
    </xf>
    <xf numFmtId="0" fontId="11" fillId="0" borderId="0" xfId="545" applyFont="1"/>
    <xf numFmtId="0" fontId="22" fillId="9" borderId="0" xfId="545" applyFont="1" applyFill="1"/>
    <xf numFmtId="0" fontId="56" fillId="0" borderId="0" xfId="545"/>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166"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5" fillId="2" borderId="11" xfId="0" applyFont="1" applyFill="1" applyBorder="1" applyAlignment="1">
      <alignment vertical="top" wrapText="1"/>
    </xf>
    <xf numFmtId="0" fontId="25" fillId="0" borderId="18" xfId="0" applyFont="1" applyBorder="1" applyAlignment="1">
      <alignment vertical="top" wrapText="1"/>
    </xf>
    <xf numFmtId="0" fontId="43" fillId="2" borderId="15" xfId="0" applyFont="1" applyFill="1" applyBorder="1" applyAlignment="1">
      <alignment vertical="top" wrapText="1"/>
    </xf>
    <xf numFmtId="0" fontId="43" fillId="0" borderId="0" xfId="0" applyFont="1" applyAlignment="1">
      <alignment vertical="top" wrapText="1"/>
    </xf>
    <xf numFmtId="0" fontId="43" fillId="2" borderId="0" xfId="0" applyFont="1" applyFill="1" applyAlignment="1">
      <alignment vertical="top" wrapText="1"/>
    </xf>
    <xf numFmtId="0" fontId="43" fillId="0" borderId="0" xfId="0" applyFont="1" applyAlignment="1">
      <alignment horizontal="right" vertical="top" wrapText="1"/>
    </xf>
    <xf numFmtId="0" fontId="0" fillId="7" borderId="3" xfId="0" applyFill="1" applyBorder="1"/>
    <xf numFmtId="0" fontId="65" fillId="0" borderId="0" xfId="0" applyFont="1" applyAlignment="1">
      <alignment vertical="center"/>
    </xf>
    <xf numFmtId="0" fontId="65" fillId="0" borderId="0" xfId="0" applyFont="1" applyAlignment="1">
      <alignment horizontal="left" vertical="center" indent="1"/>
    </xf>
    <xf numFmtId="0" fontId="65"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1"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165" fontId="11" fillId="0" borderId="0" xfId="273" applyNumberFormat="1" applyFont="1" applyAlignment="1">
      <alignment horizontal="center"/>
    </xf>
    <xf numFmtId="0" fontId="39" fillId="0" borderId="0" xfId="273" applyFont="1" applyAlignment="1">
      <alignment horizontal="center"/>
    </xf>
    <xf numFmtId="0" fontId="5" fillId="0" borderId="0" xfId="245"/>
    <xf numFmtId="0" fontId="46" fillId="0" borderId="0" xfId="0" applyFont="1"/>
    <xf numFmtId="0" fontId="46" fillId="0" borderId="0" xfId="0" applyFont="1" applyAlignment="1">
      <alignment vertical="top"/>
    </xf>
    <xf numFmtId="0" fontId="9" fillId="7" borderId="0" xfId="273" applyFont="1" applyFill="1" applyAlignment="1" applyProtection="1">
      <alignment horizontal="left"/>
      <protection locked="0"/>
    </xf>
    <xf numFmtId="0" fontId="25" fillId="0" borderId="0" xfId="273" applyFont="1"/>
    <xf numFmtId="0" fontId="12" fillId="0" borderId="0" xfId="0" applyFont="1" applyAlignment="1">
      <alignment horizontal="left" vertical="center" shrinkToFit="1"/>
    </xf>
    <xf numFmtId="49" fontId="48" fillId="0" borderId="0" xfId="273" applyNumberFormat="1" applyFont="1" applyAlignment="1">
      <alignment horizontal="center" vertical="center"/>
    </xf>
    <xf numFmtId="0" fontId="49"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58" fillId="0" borderId="5" xfId="273" applyFont="1" applyBorder="1" applyAlignment="1">
      <alignment horizontal="right" vertical="center"/>
    </xf>
    <xf numFmtId="0" fontId="9" fillId="0" borderId="5" xfId="273" applyFont="1" applyBorder="1" applyAlignment="1">
      <alignment horizontal="right" vertical="center"/>
    </xf>
    <xf numFmtId="0" fontId="59" fillId="0" borderId="0" xfId="273" applyFont="1" applyAlignment="1">
      <alignment horizontal="right" vertical="center"/>
    </xf>
    <xf numFmtId="0" fontId="51" fillId="0" borderId="0" xfId="273" applyFont="1"/>
    <xf numFmtId="0" fontId="59"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37" fillId="0" borderId="0" xfId="273" applyFont="1" applyAlignment="1">
      <alignment horizontal="right" vertical="center"/>
    </xf>
    <xf numFmtId="169" fontId="9" fillId="0" borderId="5" xfId="273" applyNumberFormat="1" applyFont="1" applyBorder="1" applyAlignment="1">
      <alignment horizontal="right"/>
    </xf>
    <xf numFmtId="0" fontId="49" fillId="0" borderId="0" xfId="273" applyFont="1" applyAlignment="1">
      <alignment horizontal="right"/>
    </xf>
    <xf numFmtId="169" fontId="9" fillId="0" borderId="2" xfId="273" applyNumberFormat="1" applyFont="1" applyBorder="1"/>
    <xf numFmtId="0" fontId="49" fillId="0" borderId="5" xfId="273" applyFont="1" applyBorder="1" applyAlignment="1">
      <alignment horizontal="right"/>
    </xf>
    <xf numFmtId="0" fontId="50" fillId="0" borderId="0" xfId="273" applyFont="1"/>
    <xf numFmtId="0" fontId="9" fillId="0" borderId="0" xfId="273" applyFont="1" applyAlignment="1">
      <alignment horizontal="right" vertical="center"/>
    </xf>
    <xf numFmtId="0" fontId="9" fillId="0" borderId="0" xfId="273" applyFont="1" applyAlignment="1">
      <alignment horizontal="right"/>
    </xf>
    <xf numFmtId="0" fontId="49" fillId="0" borderId="0" xfId="273" applyFont="1" applyAlignment="1">
      <alignment vertical="center" wrapText="1"/>
    </xf>
    <xf numFmtId="0" fontId="9" fillId="0" borderId="7" xfId="273" applyFont="1" applyBorder="1"/>
    <xf numFmtId="0" fontId="37"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69" fillId="45" borderId="12" xfId="544" applyNumberFormat="1" applyFont="1" applyFill="1" applyBorder="1" applyAlignment="1" applyProtection="1">
      <alignment horizontal="center"/>
    </xf>
    <xf numFmtId="5" fontId="69" fillId="0" borderId="12" xfId="544" applyNumberFormat="1" applyFont="1" applyBorder="1" applyAlignment="1" applyProtection="1">
      <alignment horizontal="center"/>
    </xf>
    <xf numFmtId="5" fontId="69" fillId="2" borderId="12" xfId="544" applyNumberFormat="1" applyFont="1" applyFill="1" applyBorder="1" applyAlignment="1" applyProtection="1">
      <alignment horizontal="center"/>
    </xf>
    <xf numFmtId="0" fontId="25" fillId="0" borderId="0" xfId="0" applyFont="1" applyAlignment="1">
      <alignment horizontal="right" vertical="top" wrapText="1"/>
    </xf>
    <xf numFmtId="0" fontId="18" fillId="0" borderId="0" xfId="0" applyFont="1" applyAlignment="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lignment horizontal="right" vertical="top" wrapText="1"/>
    </xf>
    <xf numFmtId="0" fontId="43" fillId="0" borderId="18" xfId="0" applyFont="1" applyBorder="1" applyAlignment="1">
      <alignment vertical="top" wrapText="1"/>
    </xf>
    <xf numFmtId="0" fontId="43"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11" fillId="0" borderId="2" xfId="546" applyFont="1" applyBorder="1" applyAlignment="1">
      <alignment horizontal="center"/>
    </xf>
    <xf numFmtId="0" fontId="11" fillId="0" borderId="0" xfId="546" applyFont="1" applyAlignment="1">
      <alignment horizontal="center"/>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96" fillId="0" borderId="0" xfId="0" applyFont="1" applyAlignment="1">
      <alignment horizontal="left" vertical="top"/>
    </xf>
    <xf numFmtId="0" fontId="41" fillId="0" borderId="0" xfId="0" applyFont="1" applyAlignment="1">
      <alignment horizontal="center"/>
    </xf>
    <xf numFmtId="0" fontId="66" fillId="0" borderId="0" xfId="0" applyFont="1" applyAlignment="1">
      <alignment horizontal="left" vertical="top"/>
    </xf>
    <xf numFmtId="0" fontId="65" fillId="0" borderId="0" xfId="0" applyFont="1"/>
    <xf numFmtId="0" fontId="35"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57" fillId="9" borderId="12" xfId="545" applyFont="1" applyFill="1" applyBorder="1" applyAlignment="1">
      <alignment horizontal="left"/>
    </xf>
    <xf numFmtId="169" fontId="13" fillId="0" borderId="12" xfId="543" applyNumberFormat="1" applyBorder="1" applyAlignment="1" applyProtection="1">
      <alignment horizontal="center"/>
    </xf>
    <xf numFmtId="0" fontId="57" fillId="0" borderId="12" xfId="545" applyFont="1" applyBorder="1" applyAlignment="1">
      <alignment horizontal="left"/>
    </xf>
    <xf numFmtId="0" fontId="43" fillId="0" borderId="13" xfId="0" applyFont="1" applyBorder="1" applyAlignment="1">
      <alignment vertical="top" wrapText="1"/>
    </xf>
    <xf numFmtId="0" fontId="74" fillId="0" borderId="0" xfId="0" applyFont="1" applyAlignment="1">
      <alignment horizontal="left"/>
    </xf>
    <xf numFmtId="0" fontId="41" fillId="0" borderId="0" xfId="0" applyFont="1" applyAlignment="1">
      <alignment vertical="top" wrapText="1"/>
    </xf>
    <xf numFmtId="0" fontId="18" fillId="0" borderId="7" xfId="0" applyFont="1" applyBorder="1" applyAlignment="1">
      <alignment vertical="top" wrapText="1"/>
    </xf>
    <xf numFmtId="0" fontId="25" fillId="0" borderId="7" xfId="0" applyFont="1" applyBorder="1" applyAlignment="1">
      <alignment vertical="top" wrapText="1"/>
    </xf>
    <xf numFmtId="0" fontId="41" fillId="0" borderId="7" xfId="0" applyFont="1" applyBorder="1" applyAlignment="1">
      <alignment vertical="top" wrapText="1"/>
    </xf>
    <xf numFmtId="0" fontId="43" fillId="0" borderId="7" xfId="0" applyFont="1" applyBorder="1" applyAlignment="1">
      <alignment vertical="top" wrapText="1"/>
    </xf>
    <xf numFmtId="0" fontId="25" fillId="0" borderId="13" xfId="0" applyFont="1" applyBorder="1" applyAlignment="1">
      <alignment vertical="top" wrapText="1"/>
    </xf>
    <xf numFmtId="6" fontId="25" fillId="6" borderId="12" xfId="0" applyNumberFormat="1" applyFont="1" applyFill="1" applyBorder="1" applyAlignment="1">
      <alignment vertical="top" wrapText="1"/>
    </xf>
    <xf numFmtId="6" fontId="25" fillId="0" borderId="12" xfId="0" applyNumberFormat="1" applyFont="1" applyBorder="1" applyAlignment="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lignment horizontal="center" vertical="top" wrapText="1"/>
    </xf>
    <xf numFmtId="6" fontId="41" fillId="0" borderId="12" xfId="0" applyNumberFormat="1" applyFont="1" applyBorder="1" applyAlignment="1">
      <alignment vertical="top" wrapText="1"/>
    </xf>
    <xf numFmtId="6" fontId="25" fillId="0" borderId="0" xfId="0" applyNumberFormat="1" applyFont="1" applyAlignment="1">
      <alignment horizontal="left" vertical="top"/>
    </xf>
    <xf numFmtId="6" fontId="25"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1" fillId="0" borderId="3" xfId="0" applyFont="1" applyBorder="1" applyAlignment="1">
      <alignment horizontal="left"/>
    </xf>
    <xf numFmtId="0" fontId="41" fillId="0" borderId="7" xfId="0" applyFont="1" applyBorder="1" applyAlignment="1">
      <alignment horizontal="center" wrapText="1"/>
    </xf>
    <xf numFmtId="0" fontId="41" fillId="0" borderId="0" xfId="0" applyFont="1" applyAlignment="1">
      <alignment horizontal="center"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49" fillId="0" borderId="0" xfId="0" applyFont="1" applyAlignment="1">
      <alignment horizontal="left"/>
    </xf>
    <xf numFmtId="0" fontId="49"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60" fillId="0" borderId="0" xfId="0" applyFont="1"/>
    <xf numFmtId="4" fontId="13" fillId="0" borderId="0" xfId="273" applyNumberFormat="1" applyAlignment="1">
      <alignment horizontal="left" vertical="top" wrapText="1"/>
    </xf>
    <xf numFmtId="0" fontId="25" fillId="0" borderId="7" xfId="0" applyFont="1" applyBorder="1"/>
    <xf numFmtId="0" fontId="25" fillId="0" borderId="4" xfId="0" applyFont="1" applyBorder="1"/>
    <xf numFmtId="0" fontId="25" fillId="0" borderId="3" xfId="0" applyFont="1" applyBorder="1"/>
    <xf numFmtId="0" fontId="25" fillId="0" borderId="1" xfId="0" applyFont="1" applyBorder="1"/>
    <xf numFmtId="0" fontId="41" fillId="0" borderId="0" xfId="0" applyFont="1" applyAlignment="1">
      <alignment horizontal="right"/>
    </xf>
    <xf numFmtId="0" fontId="41" fillId="0" borderId="9" xfId="0" applyFont="1" applyBorder="1" applyAlignment="1">
      <alignment horizontal="left"/>
    </xf>
    <xf numFmtId="0" fontId="41" fillId="0" borderId="4" xfId="0" applyFont="1" applyBorder="1"/>
    <xf numFmtId="0" fontId="25" fillId="0" borderId="5" xfId="0" applyFont="1" applyBorder="1"/>
    <xf numFmtId="0" fontId="41" fillId="0" borderId="5" xfId="0" applyFont="1" applyBorder="1" applyAlignment="1">
      <alignment horizontal="right"/>
    </xf>
    <xf numFmtId="0" fontId="25"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97" fillId="0" borderId="4" xfId="273" applyFont="1" applyBorder="1"/>
    <xf numFmtId="0" fontId="97" fillId="0" borderId="5" xfId="273" applyFont="1" applyBorder="1"/>
    <xf numFmtId="169" fontId="9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97" fillId="0" borderId="0" xfId="273" applyFont="1"/>
    <xf numFmtId="0" fontId="9" fillId="7" borderId="5" xfId="273" applyFont="1" applyFill="1" applyBorder="1" applyProtection="1">
      <protection locked="0"/>
    </xf>
    <xf numFmtId="0" fontId="9" fillId="0" borderId="2" xfId="273" applyFont="1" applyBorder="1"/>
    <xf numFmtId="0" fontId="49"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58" fillId="0" borderId="0" xfId="273" applyFont="1" applyAlignment="1">
      <alignment horizontal="right" vertical="center"/>
    </xf>
    <xf numFmtId="0" fontId="9" fillId="0" borderId="0" xfId="273" applyFont="1" applyAlignment="1">
      <alignment horizontal="center" vertical="center"/>
    </xf>
    <xf numFmtId="0" fontId="49"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22" fillId="0" borderId="0" xfId="0" applyFont="1"/>
    <xf numFmtId="0" fontId="36" fillId="0" borderId="0" xfId="0" applyFont="1"/>
    <xf numFmtId="0" fontId="33" fillId="0" borderId="0" xfId="273" applyFont="1"/>
    <xf numFmtId="0" fontId="40" fillId="0" borderId="0" xfId="0" applyFont="1"/>
    <xf numFmtId="0" fontId="41" fillId="0" borderId="12" xfId="0" applyFont="1" applyBorder="1" applyAlignment="1">
      <alignment horizontal="center" wrapText="1"/>
    </xf>
    <xf numFmtId="0" fontId="101" fillId="0" borderId="0" xfId="0" applyFont="1" applyAlignment="1">
      <alignment horizontal="left" vertical="top"/>
    </xf>
    <xf numFmtId="169" fontId="25" fillId="47" borderId="12" xfId="0" applyNumberFormat="1" applyFont="1" applyFill="1" applyBorder="1" applyAlignment="1">
      <alignment vertical="top" wrapText="1"/>
    </xf>
    <xf numFmtId="6" fontId="25"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1" fillId="0" borderId="0" xfId="273" applyFont="1" applyAlignment="1">
      <alignment horizontal="left" vertical="top" wrapText="1"/>
    </xf>
    <xf numFmtId="0" fontId="49"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46" fillId="0" borderId="2" xfId="0" applyFont="1" applyBorder="1" applyAlignment="1">
      <alignment horizontal="left" wrapText="1"/>
    </xf>
    <xf numFmtId="0" fontId="46" fillId="0" borderId="2" xfId="0" applyFont="1" applyBorder="1" applyAlignment="1">
      <alignment horizontal="left"/>
    </xf>
    <xf numFmtId="0" fontId="46"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0" fillId="0" borderId="49" xfId="0" applyBorder="1" applyAlignment="1">
      <alignment horizontal="center"/>
    </xf>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66"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5" fillId="0" borderId="47" xfId="0" applyFont="1" applyBorder="1" applyAlignment="1">
      <alignment horizontal="left"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105" fillId="0" borderId="0" xfId="0" applyFont="1" applyAlignment="1">
      <alignment vertical="center"/>
    </xf>
    <xf numFmtId="0" fontId="4" fillId="0" borderId="0" xfId="273" applyFont="1"/>
    <xf numFmtId="9" fontId="13" fillId="0" borderId="0" xfId="273" applyNumberForma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49" fillId="0" borderId="50" xfId="273" applyFont="1" applyBorder="1" applyAlignment="1">
      <alignment vertical="center" wrapText="1"/>
    </xf>
    <xf numFmtId="0" fontId="9" fillId="0" borderId="58" xfId="273" applyFont="1" applyBorder="1"/>
    <xf numFmtId="0" fontId="25"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06" fillId="0" borderId="46" xfId="273" applyFont="1" applyBorder="1" applyAlignment="1">
      <alignment horizontal="left"/>
    </xf>
    <xf numFmtId="0" fontId="106" fillId="0" borderId="52" xfId="273" applyFont="1" applyBorder="1" applyAlignment="1">
      <alignment horizontal="left"/>
    </xf>
    <xf numFmtId="0" fontId="107" fillId="0" borderId="46" xfId="273" applyFont="1" applyBorder="1" applyAlignment="1">
      <alignment horizontal="left"/>
    </xf>
    <xf numFmtId="0" fontId="10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09"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169" fontId="9" fillId="0" borderId="0" xfId="273" applyNumberFormat="1" applyFont="1" applyAlignment="1">
      <alignment horizontal="left"/>
    </xf>
    <xf numFmtId="0" fontId="46" fillId="0" borderId="0" xfId="0" applyFont="1" applyAlignment="1">
      <alignment vertical="top" wrapText="1"/>
    </xf>
    <xf numFmtId="0" fontId="9" fillId="0" borderId="0" xfId="273" applyFont="1" applyAlignment="1">
      <alignment wrapText="1"/>
    </xf>
    <xf numFmtId="0" fontId="50" fillId="0" borderId="0" xfId="273" applyFont="1" applyAlignment="1">
      <alignment horizontal="center" vertical="top"/>
    </xf>
    <xf numFmtId="0" fontId="97" fillId="0" borderId="47" xfId="273" applyFont="1" applyBorder="1" applyAlignment="1">
      <alignment horizontal="left"/>
    </xf>
    <xf numFmtId="0" fontId="13" fillId="0" borderId="47" xfId="273" applyBorder="1"/>
    <xf numFmtId="0" fontId="106" fillId="0" borderId="47" xfId="273" applyFont="1" applyBorder="1" applyAlignment="1">
      <alignment horizontal="left"/>
    </xf>
    <xf numFmtId="0" fontId="4" fillId="0" borderId="61" xfId="273" applyFont="1" applyBorder="1"/>
    <xf numFmtId="0" fontId="11" fillId="0" borderId="10" xfId="0" applyFont="1" applyBorder="1" applyAlignment="1">
      <alignment horizontal="right"/>
    </xf>
    <xf numFmtId="0" fontId="25" fillId="0" borderId="0" xfId="0" applyFont="1" applyAlignment="1">
      <alignment vertical="center" wrapText="1"/>
    </xf>
    <xf numFmtId="0" fontId="25" fillId="0" borderId="0" xfId="0" applyFont="1" applyAlignment="1">
      <alignment vertical="center"/>
    </xf>
    <xf numFmtId="0" fontId="25"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9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2" fillId="0" borderId="9" xfId="546" applyFont="1" applyBorder="1" applyAlignment="1">
      <alignment vertical="top"/>
    </xf>
    <xf numFmtId="0" fontId="29" fillId="0" borderId="7" xfId="546" applyFont="1" applyBorder="1" applyAlignment="1">
      <alignment vertical="center" wrapText="1"/>
    </xf>
    <xf numFmtId="0" fontId="29" fillId="0" borderId="0" xfId="546" applyFont="1" applyAlignment="1">
      <alignment vertical="center" wrapText="1"/>
    </xf>
    <xf numFmtId="0" fontId="29" fillId="0" borderId="13" xfId="546" applyFont="1" applyBorder="1" applyAlignment="1">
      <alignment vertical="center" wrapText="1"/>
    </xf>
    <xf numFmtId="0" fontId="29" fillId="0" borderId="9" xfId="546" applyFont="1" applyBorder="1" applyAlignment="1">
      <alignment vertical="center" wrapText="1"/>
    </xf>
    <xf numFmtId="0" fontId="29" fillId="0" borderId="5" xfId="546" applyFont="1" applyBorder="1" applyAlignment="1">
      <alignment vertical="center" wrapText="1"/>
    </xf>
    <xf numFmtId="0" fontId="29"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4" fillId="0" borderId="0" xfId="259" applyFont="1" applyAlignment="1">
      <alignment horizontal="center"/>
    </xf>
    <xf numFmtId="0" fontId="39" fillId="0" borderId="0" xfId="259" applyFont="1" applyAlignment="1">
      <alignment horizontal="center"/>
    </xf>
    <xf numFmtId="0" fontId="4" fillId="0" borderId="0" xfId="259" applyFont="1" applyAlignment="1">
      <alignment horizontal="left" vertical="top" wrapText="1"/>
    </xf>
    <xf numFmtId="0" fontId="36" fillId="2" borderId="12" xfId="574" applyFont="1" applyFill="1" applyBorder="1" applyAlignment="1">
      <alignment horizontal="left" vertical="top" wrapText="1"/>
    </xf>
    <xf numFmtId="0" fontId="25" fillId="0" borderId="12" xfId="259" applyFont="1" applyBorder="1" applyAlignment="1">
      <alignment horizontal="right" vertical="top" wrapText="1"/>
    </xf>
    <xf numFmtId="0" fontId="41" fillId="0" borderId="12" xfId="259" applyFont="1" applyBorder="1" applyAlignment="1">
      <alignment horizontal="right" vertical="top" wrapText="1"/>
    </xf>
    <xf numFmtId="0" fontId="25"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5"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5" fillId="0" borderId="0" xfId="245" applyProtection="1"/>
    <xf numFmtId="0" fontId="117" fillId="0" borderId="0" xfId="575" applyFont="1"/>
    <xf numFmtId="0" fontId="117" fillId="0" borderId="0" xfId="575" applyFont="1" applyAlignment="1">
      <alignment wrapText="1"/>
    </xf>
    <xf numFmtId="0" fontId="118" fillId="0" borderId="0" xfId="575" applyFont="1"/>
    <xf numFmtId="180" fontId="119" fillId="0" borderId="0" xfId="576" applyNumberFormat="1" applyFont="1"/>
    <xf numFmtId="0" fontId="120" fillId="0" borderId="0" xfId="575" applyFont="1" applyAlignment="1">
      <alignment vertical="center" wrapText="1"/>
    </xf>
    <xf numFmtId="49" fontId="117" fillId="0" borderId="0" xfId="575" applyNumberFormat="1" applyFont="1" applyAlignment="1">
      <alignment horizontal="center"/>
    </xf>
    <xf numFmtId="169" fontId="117" fillId="0" borderId="0" xfId="577" applyNumberFormat="1" applyFont="1" applyFill="1" applyBorder="1" applyAlignment="1">
      <alignment vertical="center"/>
    </xf>
    <xf numFmtId="181" fontId="117" fillId="0" borderId="0" xfId="575" applyNumberFormat="1" applyFont="1"/>
    <xf numFmtId="0" fontId="117" fillId="0" borderId="0" xfId="575" applyFont="1" applyAlignment="1">
      <alignment horizontal="center"/>
    </xf>
    <xf numFmtId="0" fontId="122" fillId="0" borderId="0" xfId="575" applyFont="1"/>
    <xf numFmtId="0" fontId="123" fillId="0" borderId="0" xfId="575" applyFont="1"/>
    <xf numFmtId="0" fontId="117" fillId="0" borderId="0" xfId="575" applyFont="1" applyAlignment="1">
      <alignment horizontal="left"/>
    </xf>
    <xf numFmtId="2" fontId="117" fillId="0" borderId="0" xfId="575" applyNumberFormat="1" applyFont="1" applyAlignment="1">
      <alignment horizontal="center"/>
    </xf>
    <xf numFmtId="180" fontId="117" fillId="0" borderId="0" xfId="575" applyNumberFormat="1" applyFont="1"/>
    <xf numFmtId="7" fontId="118" fillId="0" borderId="0" xfId="575" applyNumberFormat="1" applyFont="1"/>
    <xf numFmtId="165" fontId="119" fillId="0" borderId="0" xfId="577" applyNumberFormat="1" applyFont="1"/>
    <xf numFmtId="165" fontId="119" fillId="0" borderId="0" xfId="577" applyNumberFormat="1" applyFont="1" applyFill="1" applyBorder="1"/>
    <xf numFmtId="0" fontId="117" fillId="0" borderId="0" xfId="575" applyFont="1" applyAlignment="1">
      <alignment vertical="top" wrapText="1"/>
    </xf>
    <xf numFmtId="0" fontId="4" fillId="50" borderId="0" xfId="574" applyFill="1"/>
    <xf numFmtId="0" fontId="4" fillId="50" borderId="0" xfId="766" applyFill="1"/>
    <xf numFmtId="169" fontId="117" fillId="0" borderId="0" xfId="577" applyNumberFormat="1" applyFont="1" applyFill="1" applyBorder="1" applyAlignment="1" applyProtection="1">
      <alignment vertical="center"/>
    </xf>
    <xf numFmtId="5" fontId="117" fillId="51" borderId="5" xfId="164" applyNumberFormat="1" applyFont="1" applyFill="1" applyBorder="1" applyAlignment="1" applyProtection="1">
      <protection locked="0"/>
    </xf>
    <xf numFmtId="0" fontId="118" fillId="0" borderId="0" xfId="575" applyFont="1" applyAlignment="1">
      <alignment wrapText="1"/>
    </xf>
    <xf numFmtId="0" fontId="12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05" fillId="0" borderId="0" xfId="0" applyFont="1"/>
    <xf numFmtId="0" fontId="9" fillId="51" borderId="0" xfId="273" applyFont="1" applyFill="1"/>
    <xf numFmtId="3" fontId="62" fillId="51" borderId="5" xfId="273" applyNumberFormat="1" applyFont="1" applyFill="1" applyBorder="1"/>
    <xf numFmtId="0" fontId="126" fillId="0" borderId="0" xfId="0" applyFont="1"/>
    <xf numFmtId="0" fontId="128" fillId="0" borderId="0" xfId="0" applyFont="1"/>
    <xf numFmtId="0" fontId="12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49" fillId="0" borderId="0" xfId="0" applyFont="1" applyAlignment="1">
      <alignment horizontal="center" vertical="center"/>
    </xf>
    <xf numFmtId="0" fontId="130" fillId="0" borderId="0" xfId="0" applyFont="1" applyAlignment="1">
      <alignment horizontal="center" vertic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3" fontId="32" fillId="4" borderId="0" xfId="546" applyNumberFormat="1" applyFont="1" applyFill="1" applyAlignment="1">
      <alignment vertical="center" wrapText="1"/>
    </xf>
    <xf numFmtId="0" fontId="4" fillId="0" borderId="0" xfId="0" applyFont="1" applyAlignment="1">
      <alignment horizontal="left" wrapText="1"/>
    </xf>
    <xf numFmtId="49" fontId="4" fillId="0" borderId="0" xfId="0" applyNumberFormat="1" applyFont="1" applyAlignment="1">
      <alignment horizontal="left" vertical="top" wrapText="1"/>
    </xf>
    <xf numFmtId="0" fontId="4" fillId="0" borderId="0" xfId="0" quotePrefix="1" applyFont="1" applyAlignment="1">
      <alignment horizontal="left" vertical="top"/>
    </xf>
    <xf numFmtId="4" fontId="4" fillId="0" borderId="0" xfId="0" applyNumberFormat="1" applyFont="1" applyAlignment="1">
      <alignment horizontal="left" vertical="top" wrapText="1"/>
    </xf>
    <xf numFmtId="4" fontId="4" fillId="0" borderId="0" xfId="0" applyNumberFormat="1" applyFont="1" applyAlignment="1">
      <alignment horizontal="left"/>
    </xf>
    <xf numFmtId="0" fontId="4" fillId="7" borderId="3" xfId="0" applyFont="1" applyFill="1" applyBorder="1" applyAlignment="1" applyProtection="1">
      <alignment horizontal="left"/>
      <protection locked="0"/>
    </xf>
    <xf numFmtId="0" fontId="32" fillId="0" borderId="0" xfId="0" applyFont="1"/>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indent="4"/>
    </xf>
    <xf numFmtId="0" fontId="4" fillId="0" borderId="0" xfId="0" quotePrefix="1" applyFont="1" applyAlignment="1">
      <alignment horizontal="left"/>
    </xf>
    <xf numFmtId="0" fontId="4" fillId="0" borderId="6" xfId="0" applyFont="1" applyBorder="1"/>
    <xf numFmtId="49" fontId="4" fillId="0" borderId="0" xfId="0" applyNumberFormat="1" applyFont="1" applyAlignment="1">
      <alignment horizontal="center"/>
    </xf>
    <xf numFmtId="49" fontId="4" fillId="0" borderId="0" xfId="0" applyNumberFormat="1" applyFont="1"/>
    <xf numFmtId="4" fontId="4" fillId="0" borderId="0" xfId="0" applyNumberFormat="1" applyFont="1" applyAlignment="1">
      <alignment vertical="top" wrapText="1"/>
    </xf>
    <xf numFmtId="0" fontId="4" fillId="0" borderId="0" xfId="0" quotePrefix="1" applyFont="1"/>
    <xf numFmtId="0" fontId="4" fillId="0" borderId="4" xfId="0" applyFont="1" applyBorder="1" applyAlignment="1">
      <alignment horizontal="left"/>
    </xf>
    <xf numFmtId="49" fontId="4" fillId="0" borderId="0" xfId="0" applyNumberFormat="1" applyFont="1" applyAlignment="1">
      <alignment vertical="center"/>
    </xf>
    <xf numFmtId="0" fontId="35" fillId="0" borderId="0" xfId="245" applyFont="1" applyFill="1" applyBorder="1" applyAlignment="1" applyProtection="1">
      <alignment horizontal="left"/>
    </xf>
    <xf numFmtId="0" fontId="4" fillId="10" borderId="5" xfId="0" applyFont="1" applyFill="1" applyBorder="1"/>
    <xf numFmtId="0" fontId="4" fillId="0" borderId="2" xfId="0" applyFont="1" applyBorder="1"/>
    <xf numFmtId="167" fontId="4" fillId="0" borderId="0" xfId="0" applyNumberFormat="1" applyFont="1" applyAlignment="1">
      <alignment horizontal="left"/>
    </xf>
    <xf numFmtId="3" fontId="4" fillId="0" borderId="0" xfId="0" applyNumberFormat="1" applyFont="1" applyAlignment="1">
      <alignment horizontal="center"/>
    </xf>
    <xf numFmtId="169" fontId="4" fillId="0" borderId="3" xfId="0" applyNumberFormat="1" applyFont="1" applyBorder="1" applyAlignment="1">
      <alignment vertical="top"/>
    </xf>
    <xf numFmtId="0" fontId="4" fillId="9" borderId="0" xfId="545" quotePrefix="1" applyFont="1" applyFill="1" applyAlignment="1">
      <alignment horizontal="left"/>
    </xf>
    <xf numFmtId="0" fontId="11" fillId="9" borderId="0" xfId="542" applyFont="1" applyFill="1" applyAlignment="1" applyProtection="1">
      <alignment horizontal="centerContinuous"/>
    </xf>
    <xf numFmtId="0" fontId="4" fillId="9" borderId="0" xfId="545" applyFont="1" applyFill="1"/>
    <xf numFmtId="1" fontId="4" fillId="0" borderId="18" xfId="0" applyNumberFormat="1" applyFont="1" applyBorder="1"/>
    <xf numFmtId="165" fontId="4" fillId="0" borderId="0" xfId="0" applyNumberFormat="1" applyFont="1"/>
    <xf numFmtId="171" fontId="4" fillId="0" borderId="17" xfId="0" applyNumberFormat="1" applyFont="1" applyBorder="1"/>
    <xf numFmtId="1" fontId="4" fillId="0" borderId="17" xfId="0" applyNumberFormat="1" applyFont="1" applyBorder="1"/>
    <xf numFmtId="1" fontId="4" fillId="0" borderId="15" xfId="0" applyNumberFormat="1" applyFont="1" applyBorder="1"/>
    <xf numFmtId="165" fontId="4" fillId="0" borderId="9" xfId="0" applyNumberFormat="1" applyFont="1" applyBorder="1"/>
    <xf numFmtId="5" fontId="4" fillId="0" borderId="0" xfId="545" applyNumberFormat="1" applyFont="1"/>
    <xf numFmtId="169" fontId="11" fillId="0" borderId="5" xfId="546" applyNumberFormat="1" applyFont="1" applyBorder="1" applyAlignment="1">
      <alignment horizontal="left"/>
    </xf>
    <xf numFmtId="169" fontId="11" fillId="0" borderId="5" xfId="546" applyNumberFormat="1" applyFont="1" applyBorder="1" applyAlignment="1">
      <alignment horizontal="center"/>
    </xf>
    <xf numFmtId="0" fontId="4" fillId="0" borderId="12" xfId="0" applyFont="1" applyBorder="1" applyAlignment="1">
      <alignment horizontal="left"/>
    </xf>
    <xf numFmtId="169" fontId="11" fillId="0" borderId="0" xfId="546" applyNumberFormat="1" applyFont="1" applyAlignment="1">
      <alignment horizontal="left"/>
    </xf>
    <xf numFmtId="169" fontId="11" fillId="0" borderId="0" xfId="546" applyNumberFormat="1" applyFont="1" applyAlignment="1">
      <alignment horizontal="center"/>
    </xf>
    <xf numFmtId="0" fontId="4" fillId="0" borderId="11" xfId="0" applyFont="1" applyBorder="1"/>
    <xf numFmtId="0" fontId="4" fillId="0" borderId="13" xfId="0" applyFont="1" applyBorder="1"/>
    <xf numFmtId="0" fontId="14" fillId="0" borderId="0" xfId="546" applyFont="1"/>
    <xf numFmtId="2" fontId="4" fillId="0" borderId="12" xfId="0" applyNumberFormat="1" applyFont="1" applyBorder="1"/>
    <xf numFmtId="0" fontId="4" fillId="0" borderId="1" xfId="0" applyFont="1" applyBorder="1"/>
    <xf numFmtId="0" fontId="12" fillId="0" borderId="0" xfId="546" applyFont="1"/>
    <xf numFmtId="0" fontId="21" fillId="0" borderId="0" xfId="546" applyFont="1" applyAlignment="1">
      <alignment horizontal="right" vertical="top" wrapText="1"/>
    </xf>
    <xf numFmtId="0" fontId="4" fillId="0" borderId="0" xfId="546" applyAlignment="1">
      <alignment horizontal="left" vertical="center"/>
    </xf>
    <xf numFmtId="0" fontId="4" fillId="0" borderId="0" xfId="546" applyAlignment="1">
      <alignment horizontal="right" vertical="top" wrapText="1"/>
    </xf>
    <xf numFmtId="0" fontId="4" fillId="0" borderId="0" xfId="546" applyAlignment="1">
      <alignment horizontal="left"/>
    </xf>
    <xf numFmtId="0" fontId="4" fillId="0" borderId="0" xfId="0" applyFont="1" applyAlignment="1">
      <alignment horizontal="right" vertical="top" wrapText="1"/>
    </xf>
    <xf numFmtId="0" fontId="4" fillId="51" borderId="5" xfId="0" applyFont="1" applyFill="1" applyBorder="1" applyAlignment="1" applyProtection="1">
      <alignment vertical="top" wrapText="1"/>
      <protection locked="0"/>
    </xf>
    <xf numFmtId="0" fontId="4" fillId="0" borderId="7" xfId="0" applyFont="1" applyBorder="1"/>
    <xf numFmtId="1" fontId="4" fillId="0" borderId="0" xfId="0" applyNumberFormat="1" applyFont="1"/>
    <xf numFmtId="0" fontId="4" fillId="0" borderId="4" xfId="0" applyFont="1" applyBorder="1" applyAlignment="1">
      <alignment horizontal="right"/>
    </xf>
    <xf numFmtId="0" fontId="4" fillId="0" borderId="6" xfId="0" applyFont="1" applyBorder="1" applyAlignment="1">
      <alignment horizontal="left" vertical="top"/>
    </xf>
    <xf numFmtId="0" fontId="4" fillId="0" borderId="6" xfId="0" applyFont="1" applyBorder="1" applyAlignment="1">
      <alignment horizontal="center"/>
    </xf>
    <xf numFmtId="0" fontId="4" fillId="0" borderId="4" xfId="0" applyFont="1" applyBorder="1" applyAlignment="1">
      <alignment horizontal="left" vertical="top"/>
    </xf>
    <xf numFmtId="0" fontId="4" fillId="0" borderId="16" xfId="0" applyFont="1" applyBorder="1" applyAlignment="1">
      <alignment horizontal="left" vertical="top"/>
    </xf>
    <xf numFmtId="0" fontId="4" fillId="0" borderId="16" xfId="0" applyFont="1" applyBorder="1" applyAlignment="1">
      <alignment horizontal="center"/>
    </xf>
    <xf numFmtId="0" fontId="4" fillId="0" borderId="49" xfId="0" applyFont="1" applyBorder="1"/>
    <xf numFmtId="0" fontId="4" fillId="0" borderId="52" xfId="0" applyFont="1" applyBorder="1"/>
    <xf numFmtId="0" fontId="4" fillId="0" borderId="53" xfId="0" applyFont="1" applyBorder="1"/>
    <xf numFmtId="0" fontId="4" fillId="0" borderId="47" xfId="0" applyFont="1" applyBorder="1"/>
    <xf numFmtId="0" fontId="4" fillId="0" borderId="0" xfId="0" quotePrefix="1" applyFont="1" applyAlignment="1">
      <alignment horizontal="center" vertical="top"/>
    </xf>
    <xf numFmtId="2" fontId="4" fillId="0" borderId="0" xfId="573" applyNumberFormat="1" applyFont="1" applyFill="1"/>
    <xf numFmtId="10" fontId="32" fillId="0" borderId="0" xfId="273" applyNumberFormat="1" applyFont="1" applyAlignment="1">
      <alignment horizontal="center"/>
    </xf>
    <xf numFmtId="169" fontId="4" fillId="7" borderId="12" xfId="0" applyNumberFormat="1" applyFont="1" applyFill="1" applyBorder="1" applyAlignment="1" applyProtection="1">
      <alignment vertical="top" wrapText="1"/>
      <protection locked="0"/>
    </xf>
    <xf numFmtId="169" fontId="4" fillId="0" borderId="12" xfId="0" applyNumberFormat="1" applyFont="1" applyBorder="1" applyAlignment="1">
      <alignment vertical="top" wrapText="1"/>
    </xf>
    <xf numFmtId="0" fontId="4" fillId="7" borderId="12" xfId="0" applyFont="1" applyFill="1" applyBorder="1" applyAlignment="1" applyProtection="1">
      <alignment vertical="top" wrapText="1"/>
      <protection locked="0"/>
    </xf>
    <xf numFmtId="169" fontId="4" fillId="0" borderId="12" xfId="0" applyNumberFormat="1" applyFont="1" applyBorder="1" applyAlignment="1" applyProtection="1">
      <alignment vertical="top" wrapText="1"/>
      <protection locked="0"/>
    </xf>
    <xf numFmtId="0" fontId="4" fillId="7" borderId="8" xfId="0" applyFont="1" applyFill="1" applyBorder="1" applyAlignment="1" applyProtection="1">
      <alignment vertical="top" wrapText="1"/>
      <protection locked="0"/>
    </xf>
    <xf numFmtId="0" fontId="4" fillId="0" borderId="4" xfId="0" applyFont="1" applyBorder="1" applyAlignment="1" applyProtection="1">
      <alignment horizontal="left" vertical="top"/>
      <protection locked="0"/>
    </xf>
    <xf numFmtId="0" fontId="4" fillId="0" borderId="4" xfId="0" applyFont="1" applyBorder="1" applyAlignment="1" applyProtection="1">
      <alignment vertical="top" wrapText="1"/>
      <protection locked="0"/>
    </xf>
    <xf numFmtId="0" fontId="4" fillId="0" borderId="4" xfId="0" applyFont="1" applyBorder="1" applyAlignment="1">
      <alignment vertical="top" wrapText="1"/>
    </xf>
    <xf numFmtId="0" fontId="4" fillId="0" borderId="12"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6" fontId="25" fillId="7" borderId="12" xfId="766" applyNumberFormat="1" applyFont="1" applyFill="1" applyBorder="1" applyAlignment="1" applyProtection="1">
      <alignment vertical="top" wrapText="1"/>
      <protection locked="0"/>
    </xf>
    <xf numFmtId="169" fontId="25" fillId="7" borderId="12" xfId="0" applyNumberFormat="1" applyFont="1" applyFill="1" applyBorder="1" applyAlignment="1" applyProtection="1">
      <alignment horizontal="right" vertical="top" wrapText="1"/>
      <protection locked="0"/>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3" fillId="0" borderId="0" xfId="0" applyFont="1" applyAlignment="1">
      <alignment horizontal="left" vertical="top" wrapText="1"/>
    </xf>
    <xf numFmtId="0" fontId="4" fillId="0" borderId="0" xfId="0" applyFont="1" applyAlignment="1">
      <alignment horizontal="left" wrapText="1"/>
    </xf>
    <xf numFmtId="0" fontId="102" fillId="0" borderId="0" xfId="0" applyFont="1" applyAlignment="1">
      <alignment horizontal="left" wrapText="1"/>
    </xf>
    <xf numFmtId="0" fontId="11" fillId="0" borderId="0" xfId="0" applyFont="1" applyAlignment="1">
      <alignment horizontal="left" vertical="top" wrapText="1"/>
    </xf>
    <xf numFmtId="0" fontId="9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0" fillId="0" borderId="0" xfId="0" applyAlignment="1">
      <alignment wrapText="1"/>
    </xf>
    <xf numFmtId="0" fontId="4" fillId="0" borderId="0" xfId="0" applyFont="1"/>
    <xf numFmtId="0" fontId="4" fillId="0" borderId="0" xfId="0" applyFont="1" applyAlignment="1">
      <alignmen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4" fillId="0" borderId="42" xfId="0" applyFont="1" applyBorder="1" applyAlignment="1">
      <alignment horizontal="left"/>
    </xf>
    <xf numFmtId="0" fontId="23" fillId="0" borderId="0" xfId="0" applyFont="1" applyAlignment="1">
      <alignment horizontal="center"/>
    </xf>
    <xf numFmtId="0" fontId="11" fillId="0" borderId="0" xfId="273" applyFont="1" applyAlignment="1">
      <alignment horizontal="center"/>
    </xf>
    <xf numFmtId="0" fontId="13" fillId="0" borderId="0" xfId="273"/>
    <xf numFmtId="0" fontId="0" fillId="0" borderId="0" xfId="0" applyAlignment="1">
      <alignment horizontal="center"/>
    </xf>
    <xf numFmtId="0" fontId="23" fillId="0" borderId="0" xfId="0" applyFont="1" applyAlignment="1">
      <alignment horizontal="left" wrapText="1"/>
    </xf>
    <xf numFmtId="0" fontId="13" fillId="0" borderId="0" xfId="273" applyAlignment="1">
      <alignment horizontal="left" wrapText="1"/>
    </xf>
    <xf numFmtId="0" fontId="11" fillId="0" borderId="4" xfId="0" applyFont="1" applyBorder="1" applyAlignment="1">
      <alignment horizontal="left" vertical="top"/>
    </xf>
    <xf numFmtId="0" fontId="0" fillId="0" borderId="0" xfId="0" applyAlignment="1">
      <alignment horizontal="left" vertical="top" wrapText="1"/>
    </xf>
    <xf numFmtId="0" fontId="4" fillId="0" borderId="0" xfId="766" applyAlignment="1">
      <alignment horizontal="left"/>
    </xf>
    <xf numFmtId="0" fontId="11" fillId="0" borderId="0" xfId="273" applyFont="1" applyAlignment="1">
      <alignment horizontal="left" vertical="top" wrapText="1"/>
    </xf>
    <xf numFmtId="0" fontId="35"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273" applyNumberFormat="1" applyAlignment="1">
      <alignment horizontal="left" vertical="top" wrapText="1"/>
    </xf>
    <xf numFmtId="4" fontId="13" fillId="0" borderId="0" xfId="278" applyNumberFormat="1" applyAlignment="1">
      <alignment horizontal="left" vertical="top" wrapText="1"/>
    </xf>
    <xf numFmtId="0" fontId="4" fillId="0" borderId="0" xfId="0" applyFont="1" applyAlignment="1">
      <alignment vertical="top"/>
    </xf>
    <xf numFmtId="0" fontId="5" fillId="0" borderId="0" xfId="245" applyNumberFormat="1" applyFill="1" applyAlignment="1" applyProtection="1">
      <alignment horizontal="left"/>
      <protection locked="0"/>
    </xf>
    <xf numFmtId="0" fontId="35" fillId="0" borderId="0" xfId="0" applyFont="1" applyAlignment="1">
      <alignment horizontal="left" vertical="top"/>
    </xf>
    <xf numFmtId="0" fontId="13" fillId="0" borderId="0" xfId="278" applyAlignment="1">
      <alignment horizontal="left" vertical="top" wrapText="1"/>
    </xf>
    <xf numFmtId="0" fontId="5" fillId="0" borderId="0" xfId="245" quotePrefix="1" applyAlignment="1" applyProtection="1">
      <alignment horizontal="left"/>
    </xf>
    <xf numFmtId="0" fontId="4"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4" fontId="23"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1" fillId="0" borderId="1"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0" xfId="0" applyFont="1" applyAlignment="1">
      <alignment horizontal="center" vertical="center" wrapText="1"/>
    </xf>
    <xf numFmtId="0" fontId="41" fillId="0" borderId="13"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76" fontId="25" fillId="7" borderId="3" xfId="0" applyNumberFormat="1" applyFont="1" applyFill="1" applyBorder="1" applyProtection="1">
      <protection locked="0"/>
    </xf>
    <xf numFmtId="176" fontId="25" fillId="7" borderId="4" xfId="0" applyNumberFormat="1" applyFont="1" applyFill="1" applyBorder="1" applyProtection="1">
      <protection locked="0"/>
    </xf>
    <xf numFmtId="176" fontId="25" fillId="7" borderId="8" xfId="0" applyNumberFormat="1" applyFont="1" applyFill="1" applyBorder="1" applyProtection="1">
      <protection locked="0"/>
    </xf>
    <xf numFmtId="0" fontId="4" fillId="7" borderId="4" xfId="0" applyFont="1" applyFill="1" applyBorder="1" applyAlignment="1" applyProtection="1">
      <alignment vertical="center"/>
      <protection locked="0"/>
    </xf>
    <xf numFmtId="0" fontId="4"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5" xfId="0" applyFont="1" applyBorder="1" applyAlignment="1">
      <alignment horizontal="right"/>
    </xf>
    <xf numFmtId="0" fontId="11" fillId="0" borderId="8" xfId="0" applyFont="1" applyBorder="1" applyAlignment="1">
      <alignment horizontal="right"/>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4" fillId="7" borderId="12" xfId="0" applyFont="1" applyFill="1" applyBorder="1" applyProtection="1">
      <protection locked="0"/>
    </xf>
    <xf numFmtId="167" fontId="4" fillId="7" borderId="5" xfId="0" applyNumberFormat="1" applyFont="1"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4" fillId="7" borderId="5" xfId="0" applyFont="1" applyFill="1" applyBorder="1" applyAlignment="1" applyProtection="1">
      <alignment horizontal="left"/>
      <protection locked="0"/>
    </xf>
    <xf numFmtId="0" fontId="4" fillId="7" borderId="5" xfId="0" applyFon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 fontId="13" fillId="7" borderId="5" xfId="273" applyNumberFormat="1" applyFill="1" applyBorder="1" applyAlignment="1" applyProtection="1">
      <alignment horizontal="center"/>
      <protection locked="0"/>
    </xf>
    <xf numFmtId="169" fontId="4"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0" borderId="12"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4"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0" fontId="4" fillId="0" borderId="5" xfId="0" applyFont="1" applyBorder="1" applyAlignment="1">
      <alignment horizontal="left"/>
    </xf>
    <xf numFmtId="0" fontId="4" fillId="7" borderId="5" xfId="245" applyFont="1" applyFill="1" applyBorder="1" applyAlignment="1" applyProtection="1">
      <alignment horizontal="left"/>
      <protection locked="0"/>
    </xf>
    <xf numFmtId="0" fontId="4"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1" fillId="0" borderId="0" xfId="546" applyFont="1" applyAlignment="1">
      <alignment horizontal="left" vertical="center" wrapText="1"/>
    </xf>
    <xf numFmtId="0" fontId="11" fillId="0" borderId="6" xfId="0" applyFont="1" applyBorder="1" applyAlignment="1">
      <alignment horizontal="center"/>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0" fillId="5" borderId="0" xfId="0" applyFont="1" applyFill="1" applyAlignment="1">
      <alignment horizontal="center" vertical="center"/>
    </xf>
    <xf numFmtId="169" fontId="4" fillId="7" borderId="3"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6" fillId="0" borderId="7" xfId="546" applyFont="1" applyBorder="1" applyAlignment="1">
      <alignment horizontal="center" vertical="center" wrapText="1"/>
    </xf>
    <xf numFmtId="0" fontId="116" fillId="0" borderId="0" xfId="546" applyFont="1" applyAlignment="1">
      <alignment horizontal="center" vertical="center" wrapText="1"/>
    </xf>
    <xf numFmtId="0" fontId="116"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29" fillId="0" borderId="9" xfId="546" applyFont="1" applyBorder="1" applyAlignment="1">
      <alignment horizontal="center" vertical="center"/>
    </xf>
    <xf numFmtId="0" fontId="29" fillId="0" borderId="5" xfId="546" applyFont="1" applyBorder="1" applyAlignment="1">
      <alignment horizontal="center" vertical="center"/>
    </xf>
    <xf numFmtId="0" fontId="29"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5" fillId="7" borderId="3" xfId="0" applyFont="1" applyFill="1" applyBorder="1" applyAlignment="1" applyProtection="1">
      <alignment horizontal="center"/>
      <protection locked="0"/>
    </xf>
    <xf numFmtId="0" fontId="25" fillId="7" borderId="4" xfId="0" applyFont="1" applyFill="1" applyBorder="1" applyAlignment="1" applyProtection="1">
      <alignment horizontal="center"/>
      <protection locked="0"/>
    </xf>
    <xf numFmtId="0" fontId="25" fillId="7" borderId="8" xfId="0" applyFont="1" applyFill="1" applyBorder="1" applyAlignment="1" applyProtection="1">
      <alignment horizontal="center"/>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12" fillId="7" borderId="3" xfId="546" applyFont="1" applyFill="1" applyBorder="1" applyAlignment="1">
      <alignment horizontal="center"/>
    </xf>
    <xf numFmtId="0" fontId="12" fillId="7" borderId="4" xfId="546" applyFont="1" applyFill="1" applyBorder="1" applyAlignment="1">
      <alignment horizontal="center"/>
    </xf>
    <xf numFmtId="0" fontId="12"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4" fillId="7" borderId="9" xfId="0" applyNumberFormat="1" applyFont="1" applyFill="1" applyBorder="1" applyAlignment="1" applyProtection="1">
      <alignment horizontal="right"/>
      <protection locked="0"/>
    </xf>
    <xf numFmtId="169" fontId="4"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4" fillId="0" borderId="0" xfId="546" applyNumberFormat="1" applyAlignment="1">
      <alignment horizontal="center"/>
    </xf>
    <xf numFmtId="2" fontId="4"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11" fillId="0" borderId="12" xfId="0" applyFont="1" applyBorder="1" applyAlignment="1">
      <alignment horizontal="center"/>
    </xf>
    <xf numFmtId="1" fontId="4"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4"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4" fillId="0" borderId="3" xfId="0" applyFont="1" applyBorder="1" applyAlignment="1">
      <alignment horizontal="center"/>
    </xf>
    <xf numFmtId="0" fontId="4" fillId="0" borderId="4" xfId="0" applyFont="1" applyBorder="1" applyAlignment="1">
      <alignment horizontal="center"/>
    </xf>
    <xf numFmtId="0" fontId="4" fillId="0" borderId="10" xfId="0" applyFont="1" applyBorder="1" applyAlignment="1">
      <alignment horizontal="center"/>
    </xf>
    <xf numFmtId="0" fontId="4" fillId="0" borderId="8" xfId="0" applyFont="1" applyBorder="1" applyAlignment="1">
      <alignment horizontal="center"/>
    </xf>
    <xf numFmtId="179" fontId="4" fillId="7" borderId="4" xfId="0" applyNumberFormat="1" applyFont="1" applyFill="1" applyBorder="1" applyAlignment="1" applyProtection="1">
      <alignment horizontal="right"/>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3" fontId="4" fillId="7" borderId="3" xfId="0" applyNumberFormat="1" applyFon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4"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1" fillId="0" borderId="13" xfId="0" applyFont="1" applyBorder="1" applyAlignment="1">
      <alignment horizontal="center" wrapText="1"/>
    </xf>
    <xf numFmtId="0" fontId="11" fillId="0" borderId="10" xfId="0" applyFont="1" applyBorder="1" applyAlignment="1">
      <alignment horizontal="center" wrapText="1"/>
    </xf>
    <xf numFmtId="0" fontId="4" fillId="51" borderId="12" xfId="0"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4" fillId="7" borderId="5" xfId="0" applyFont="1" applyFill="1" applyBorder="1" applyAlignment="1" applyProtection="1">
      <alignment horizontal="left" wrapText="1"/>
      <protection locked="0"/>
    </xf>
    <xf numFmtId="1" fontId="12" fillId="7" borderId="5" xfId="0" applyNumberFormat="1" applyFont="1" applyFill="1" applyBorder="1" applyAlignment="1" applyProtection="1">
      <alignment horizontal="center"/>
      <protection locked="0"/>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5" fillId="7" borderId="5" xfId="0" applyFont="1" applyFill="1" applyBorder="1" applyAlignment="1">
      <alignment horizontal="center"/>
    </xf>
    <xf numFmtId="0" fontId="0" fillId="0" borderId="5" xfId="0" applyBorder="1" applyProtection="1">
      <protection locked="0"/>
    </xf>
    <xf numFmtId="0" fontId="12" fillId="51" borderId="5" xfId="0" applyFont="1" applyFill="1" applyBorder="1" applyAlignment="1" applyProtection="1">
      <alignment horizontal="left"/>
      <protection locked="0"/>
    </xf>
    <xf numFmtId="0" fontId="0" fillId="0" borderId="5" xfId="0" applyBorder="1" applyAlignment="1">
      <alignment horizontal="left"/>
    </xf>
    <xf numFmtId="0" fontId="4" fillId="0" borderId="4" xfId="0" applyFont="1" applyBorder="1" applyAlignment="1" applyProtection="1">
      <alignment horizontal="left"/>
      <protection locked="0"/>
    </xf>
    <xf numFmtId="0" fontId="0" fillId="7" borderId="5" xfId="0" applyFill="1" applyBorder="1" applyProtection="1">
      <protection locked="0"/>
    </xf>
    <xf numFmtId="0" fontId="4"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0" fontId="4" fillId="7" borderId="0" xfId="0" applyFont="1" applyFill="1" applyAlignment="1" applyProtection="1">
      <alignment horizontal="left" vertical="top" wrapText="1"/>
      <protection locked="0"/>
    </xf>
    <xf numFmtId="0" fontId="4"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9" fontId="4" fillId="0" borderId="7" xfId="546" applyNumberFormat="1" applyBorder="1" applyAlignment="1">
      <alignment horizontal="center"/>
    </xf>
    <xf numFmtId="9" fontId="4" fillId="0" borderId="0" xfId="546" applyNumberFormat="1" applyAlignment="1">
      <alignment horizontal="center"/>
    </xf>
    <xf numFmtId="0" fontId="4" fillId="0" borderId="12" xfId="546"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2" fontId="4" fillId="0" borderId="3" xfId="546" applyNumberFormat="1" applyBorder="1" applyAlignment="1">
      <alignment horizontal="center"/>
    </xf>
    <xf numFmtId="2" fontId="4" fillId="0" borderId="8" xfId="546" applyNumberFormat="1" applyBorder="1" applyAlignment="1">
      <alignment horizontal="center"/>
    </xf>
    <xf numFmtId="0" fontId="12" fillId="7" borderId="3"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176" fontId="4" fillId="0" borderId="3" xfId="546" applyNumberFormat="1" applyBorder="1" applyAlignment="1">
      <alignment horizontal="center" vertical="center" wrapText="1"/>
    </xf>
    <xf numFmtId="176" fontId="4" fillId="0" borderId="4" xfId="546" applyNumberFormat="1" applyBorder="1" applyAlignment="1">
      <alignment horizontal="center" vertical="center" wrapText="1"/>
    </xf>
    <xf numFmtId="176" fontId="4" fillId="0" borderId="8" xfId="546" applyNumberFormat="1" applyBorder="1" applyAlignment="1">
      <alignment horizontal="center" vertical="center" wrapText="1"/>
    </xf>
    <xf numFmtId="3" fontId="32" fillId="4" borderId="0" xfId="546" applyNumberFormat="1" applyFont="1" applyFill="1" applyAlignment="1">
      <alignment horizontal="left" vertical="center" wrapText="1"/>
    </xf>
    <xf numFmtId="169" fontId="4" fillId="0" borderId="0" xfId="546" applyNumberFormat="1" applyAlignment="1">
      <alignment horizontal="right" vertical="center" wrapText="1"/>
    </xf>
    <xf numFmtId="0" fontId="25" fillId="7" borderId="3" xfId="0" applyFont="1" applyFill="1" applyBorder="1" applyAlignment="1" applyProtection="1">
      <alignment horizontal="right"/>
      <protection locked="0"/>
    </xf>
    <xf numFmtId="0" fontId="25" fillId="7" borderId="4" xfId="0" applyFont="1" applyFill="1" applyBorder="1" applyAlignment="1" applyProtection="1">
      <alignment horizontal="right"/>
      <protection locked="0"/>
    </xf>
    <xf numFmtId="0" fontId="25" fillId="7" borderId="8"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11" fillId="0" borderId="9" xfId="0" applyFont="1" applyBorder="1" applyAlignment="1">
      <alignment horizontal="right"/>
    </xf>
    <xf numFmtId="0" fontId="11" fillId="0" borderId="10" xfId="0" applyFont="1" applyBorder="1" applyAlignment="1">
      <alignment horizontal="right"/>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169" fontId="4" fillId="0" borderId="5" xfId="0" applyNumberFormat="1" applyFont="1" applyBorder="1" applyAlignment="1">
      <alignment horizontal="center"/>
    </xf>
    <xf numFmtId="0" fontId="4" fillId="0" borderId="5" xfId="0" applyFont="1" applyBorder="1" applyAlignment="1">
      <alignment horizontal="left" wrapText="1"/>
    </xf>
    <xf numFmtId="0" fontId="12" fillId="0" borderId="2" xfId="0" applyFont="1" applyBorder="1" applyAlignment="1">
      <alignment horizontal="center"/>
    </xf>
    <xf numFmtId="0" fontId="4" fillId="7" borderId="3" xfId="0" applyFont="1" applyFill="1" applyBorder="1" applyAlignment="1" applyProtection="1">
      <alignment horizontal="right" vertical="top"/>
      <protection locked="0"/>
    </xf>
    <xf numFmtId="0" fontId="4" fillId="7" borderId="4" xfId="0" applyFont="1" applyFill="1" applyBorder="1" applyAlignment="1" applyProtection="1">
      <alignment horizontal="right" vertical="top"/>
      <protection locked="0"/>
    </xf>
    <xf numFmtId="0" fontId="4" fillId="7" borderId="8" xfId="0" applyFont="1" applyFill="1" applyBorder="1" applyAlignment="1" applyProtection="1">
      <alignment horizontal="right" vertical="top"/>
      <protection locked="0"/>
    </xf>
    <xf numFmtId="0" fontId="4" fillId="7" borderId="9"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8" xfId="0" applyFont="1" applyBorder="1" applyAlignment="1">
      <alignment horizontal="left"/>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0" borderId="12" xfId="0" applyNumberFormat="1" applyFont="1" applyBorder="1" applyAlignment="1">
      <alignment horizontal="center"/>
    </xf>
    <xf numFmtId="0" fontId="4" fillId="7" borderId="12" xfId="0" applyFont="1" applyFill="1" applyBorder="1" applyAlignment="1" applyProtection="1">
      <alignment horizontal="center"/>
      <protection locked="0"/>
    </xf>
    <xf numFmtId="0" fontId="0" fillId="0" borderId="13" xfId="0" applyBorder="1" applyAlignment="1">
      <alignment horizontal="center"/>
    </xf>
    <xf numFmtId="0" fontId="38" fillId="0" borderId="0" xfId="0" applyFont="1" applyAlignment="1">
      <alignment horizontal="center" vertical="center"/>
    </xf>
    <xf numFmtId="169" fontId="0" fillId="0" borderId="5" xfId="0" applyNumberFormat="1" applyBorder="1" applyAlignment="1">
      <alignment horizontal="center"/>
    </xf>
    <xf numFmtId="0" fontId="22" fillId="0" borderId="0" xfId="0" applyFont="1" applyAlignment="1">
      <alignment horizontal="center"/>
    </xf>
    <xf numFmtId="0" fontId="4" fillId="0" borderId="0" xfId="0" applyFont="1" applyAlignment="1">
      <alignment horizontal="center"/>
    </xf>
    <xf numFmtId="0" fontId="12" fillId="0" borderId="0" xfId="0" applyFont="1" applyAlignment="1">
      <alignment horizontal="center"/>
    </xf>
    <xf numFmtId="0" fontId="128" fillId="0" borderId="0" xfId="0" applyFont="1" applyAlignment="1" applyProtection="1">
      <alignment horizontal="left" vertical="top" wrapText="1"/>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4" fillId="0" borderId="0" xfId="0" applyNumberFormat="1" applyFont="1" applyAlignment="1">
      <alignment horizontal="center"/>
    </xf>
    <xf numFmtId="9" fontId="4" fillId="0" borderId="12" xfId="0" applyNumberFormat="1" applyFont="1" applyBorder="1" applyAlignment="1">
      <alignment horizontal="center"/>
    </xf>
    <xf numFmtId="169" fontId="12" fillId="0" borderId="0" xfId="0" applyNumberFormat="1" applyFont="1" applyAlignment="1">
      <alignment horizontal="left" vertical="top" wrapText="1"/>
    </xf>
    <xf numFmtId="10" fontId="4" fillId="7" borderId="4" xfId="0" applyNumberFormat="1" applyFont="1" applyFill="1" applyBorder="1" applyAlignment="1" applyProtection="1">
      <alignment horizontal="right"/>
      <protection locked="0"/>
    </xf>
    <xf numFmtId="0" fontId="4" fillId="7" borderId="3" xfId="0" applyFont="1" applyFill="1" applyBorder="1" applyAlignment="1" applyProtection="1">
      <alignment horizontal="left"/>
      <protection locked="0"/>
    </xf>
    <xf numFmtId="3" fontId="4" fillId="7" borderId="12" xfId="0" applyNumberFormat="1"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169" fontId="4" fillId="0" borderId="12" xfId="0" applyNumberFormat="1" applyFont="1" applyBorder="1" applyAlignment="1">
      <alignment horizontal="center"/>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4"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4" fillId="0" borderId="7" xfId="0" applyNumberFormat="1" applyFont="1" applyBorder="1" applyAlignment="1">
      <alignment horizontal="left" vertical="top"/>
    </xf>
    <xf numFmtId="169" fontId="4" fillId="0" borderId="0" xfId="0" applyNumberFormat="1" applyFont="1" applyAlignment="1">
      <alignment horizontal="left" vertical="top"/>
    </xf>
    <xf numFmtId="169" fontId="25" fillId="0" borderId="2" xfId="0" applyNumberFormat="1" applyFont="1" applyBorder="1" applyAlignment="1">
      <alignment horizontal="left" vertical="top" wrapText="1"/>
    </xf>
    <xf numFmtId="169" fontId="25" fillId="0" borderId="0" xfId="0" applyNumberFormat="1" applyFont="1" applyAlignment="1">
      <alignment horizontal="left" vertical="top" wrapText="1"/>
    </xf>
    <xf numFmtId="0" fontId="0" fillId="0" borderId="8" xfId="0" applyBorder="1" applyAlignment="1">
      <alignment horizontal="left"/>
    </xf>
    <xf numFmtId="0" fontId="12" fillId="7"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4" fillId="7" borderId="12" xfId="0" quotePrefix="1" applyNumberFormat="1"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4" fillId="0" borderId="0" xfId="0" applyNumberFormat="1" applyFont="1" applyAlignment="1">
      <alignment horizontal="right" vertical="top"/>
    </xf>
    <xf numFmtId="169" fontId="4"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4" fillId="7" borderId="4" xfId="0" applyNumberFormat="1" applyFont="1" applyFill="1" applyBorder="1" applyAlignment="1" applyProtection="1">
      <alignment horizontal="left" vertical="top"/>
      <protection locked="0"/>
    </xf>
    <xf numFmtId="169" fontId="4" fillId="7" borderId="8" xfId="0" applyNumberFormat="1" applyFont="1" applyFill="1" applyBorder="1" applyAlignment="1" applyProtection="1">
      <alignment horizontal="left" vertical="top"/>
      <protection locked="0"/>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4"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2" borderId="8" xfId="0" applyFont="1" applyFill="1" applyBorder="1" applyAlignment="1">
      <alignment horizontal="center"/>
    </xf>
    <xf numFmtId="0" fontId="4" fillId="0" borderId="9" xfId="0" applyFont="1" applyBorder="1" applyAlignment="1">
      <alignment horizontal="center"/>
    </xf>
    <xf numFmtId="0" fontId="4" fillId="0" borderId="5" xfId="0"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3" fillId="7" borderId="5" xfId="273" applyFill="1" applyBorder="1" applyProtection="1">
      <protection locked="0"/>
    </xf>
    <xf numFmtId="0" fontId="11" fillId="7" borderId="12" xfId="0" applyFont="1" applyFill="1" applyBorder="1" applyAlignment="1" applyProtection="1">
      <alignment horizontal="center"/>
      <protection locked="0"/>
    </xf>
    <xf numFmtId="169" fontId="4" fillId="7" borderId="12" xfId="0" applyNumberFormat="1" applyFont="1" applyFill="1" applyBorder="1" applyAlignment="1" applyProtection="1">
      <alignment horizontal="center"/>
      <protection locked="0"/>
    </xf>
    <xf numFmtId="0" fontId="11" fillId="0" borderId="11" xfId="0" applyFont="1" applyBorder="1" applyAlignment="1">
      <alignment horizontal="center" wrapText="1"/>
    </xf>
    <xf numFmtId="1" fontId="4"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4" fillId="7" borderId="3" xfId="0" applyFont="1" applyFill="1" applyBorder="1" applyProtection="1">
      <protection locked="0"/>
    </xf>
    <xf numFmtId="0" fontId="4" fillId="0" borderId="4" xfId="0" applyFont="1" applyBorder="1" applyProtection="1">
      <protection locked="0"/>
    </xf>
    <xf numFmtId="0" fontId="4"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4" fillId="2" borderId="3" xfId="0" applyFont="1" applyFill="1" applyBorder="1" applyAlignment="1">
      <alignment horizontal="center" vertical="top"/>
    </xf>
    <xf numFmtId="0" fontId="44" fillId="2" borderId="4" xfId="0" applyFont="1" applyFill="1" applyBorder="1" applyAlignment="1">
      <alignment horizontal="center" vertical="top"/>
    </xf>
    <xf numFmtId="0" fontId="44" fillId="2" borderId="8" xfId="0" applyFont="1" applyFill="1" applyBorder="1" applyAlignment="1">
      <alignment horizontal="center" vertical="top"/>
    </xf>
    <xf numFmtId="0" fontId="4" fillId="0" borderId="5" xfId="0" applyFont="1" applyBorder="1" applyAlignment="1">
      <alignment vertical="top" wrapText="1"/>
    </xf>
    <xf numFmtId="178" fontId="4" fillId="7" borderId="5" xfId="0" applyNumberFormat="1" applyFont="1" applyFill="1" applyBorder="1" applyAlignment="1" applyProtection="1">
      <alignment horizontal="left" vertical="top" wrapText="1"/>
      <protection locked="0"/>
    </xf>
    <xf numFmtId="0" fontId="4" fillId="0" borderId="2" xfId="0" applyFont="1" applyBorder="1" applyAlignment="1">
      <alignment vertical="top" wrapText="1"/>
    </xf>
    <xf numFmtId="0" fontId="25" fillId="0" borderId="0" xfId="0" applyFont="1" applyAlignment="1">
      <alignment vertical="top" wrapText="1"/>
    </xf>
    <xf numFmtId="0" fontId="4" fillId="0" borderId="2" xfId="0" applyFont="1" applyBorder="1" applyAlignment="1">
      <alignment horizontal="left" vertical="top" wrapText="1"/>
    </xf>
    <xf numFmtId="0" fontId="41" fillId="0" borderId="0" xfId="0" applyFont="1" applyAlignment="1">
      <alignment vertical="top" wrapText="1"/>
    </xf>
    <xf numFmtId="0" fontId="0" fillId="0" borderId="0" xfId="0" applyAlignment="1">
      <alignment vertical="top" wrapText="1"/>
    </xf>
    <xf numFmtId="0" fontId="4"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5" fillId="0" borderId="0" xfId="0" applyFont="1" applyAlignment="1">
      <alignment horizontal="left" vertical="center" wrapText="1"/>
    </xf>
    <xf numFmtId="0" fontId="11"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6" fillId="0" borderId="0" xfId="0" applyFont="1" applyAlignment="1">
      <alignment horizontal="left" vertical="top" wrapText="1"/>
    </xf>
    <xf numFmtId="0" fontId="25"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6"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 fontId="12" fillId="0" borderId="12" xfId="0" applyNumberFormat="1"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46" borderId="12" xfId="0" applyNumberFormat="1" applyFont="1" applyFill="1" applyBorder="1" applyAlignment="1">
      <alignment horizontal="center"/>
    </xf>
    <xf numFmtId="166" fontId="12" fillId="0" borderId="15" xfId="0" applyNumberFormat="1" applyFont="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9" fontId="12" fillId="7" borderId="5" xfId="0" applyNumberFormat="1" applyFont="1" applyFill="1" applyBorder="1" applyAlignment="1" applyProtection="1">
      <alignment horizontal="left"/>
      <protection locked="0"/>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1" fontId="12" fillId="0" borderId="25" xfId="0" applyNumberFormat="1"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0" fontId="21" fillId="0" borderId="0" xfId="0" applyFont="1" applyAlignment="1">
      <alignment horizontal="left" vertical="top" wrapText="1"/>
    </xf>
    <xf numFmtId="0" fontId="11" fillId="0" borderId="0" xfId="0" applyFont="1" applyAlignment="1">
      <alignment horizontal="right"/>
    </xf>
    <xf numFmtId="166" fontId="12" fillId="0" borderId="21" xfId="0" applyNumberFormat="1" applyFont="1" applyBorder="1" applyAlignment="1">
      <alignment horizontal="center"/>
    </xf>
    <xf numFmtId="0" fontId="11" fillId="0" borderId="0" xfId="0" applyFont="1" applyAlignment="1">
      <alignment horizontal="center" vertical="top"/>
    </xf>
    <xf numFmtId="44" fontId="12" fillId="0" borderId="0" xfId="164" applyFont="1" applyFill="1" applyBorder="1" applyAlignment="1" applyProtection="1">
      <alignment horizontal="left" vertical="top" wrapText="1"/>
    </xf>
    <xf numFmtId="0" fontId="12" fillId="0" borderId="0" xfId="574" applyFont="1" applyAlignment="1">
      <alignment horizontal="left" vertical="top" wrapText="1"/>
    </xf>
    <xf numFmtId="0" fontId="12"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Border="1" applyAlignment="1">
      <alignment horizontal="left" vertical="top" wrapText="1"/>
    </xf>
    <xf numFmtId="0" fontId="25"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25" fillId="0" borderId="47" xfId="0" applyFont="1" applyBorder="1" applyAlignment="1">
      <alignment horizontal="left" wrapText="1"/>
    </xf>
    <xf numFmtId="0" fontId="25" fillId="0" borderId="0" xfId="0" applyFont="1" applyAlignment="1">
      <alignment horizontal="left" wrapText="1"/>
    </xf>
    <xf numFmtId="0" fontId="11" fillId="0" borderId="50" xfId="0" applyFont="1" applyBorder="1" applyAlignment="1">
      <alignment horizontal="center"/>
    </xf>
    <xf numFmtId="0" fontId="12" fillId="0" borderId="47" xfId="0" applyFont="1" applyBorder="1" applyAlignment="1">
      <alignment horizontal="left" vertical="top" wrapText="1"/>
    </xf>
    <xf numFmtId="0" fontId="12" fillId="0" borderId="53" xfId="0" applyFont="1" applyBorder="1" applyAlignment="1">
      <alignment horizontal="left" vertical="top" wrapText="1"/>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1" xfId="0" applyFill="1" applyBorder="1" applyAlignment="1" applyProtection="1">
      <alignment horizontal="center"/>
      <protection locked="0"/>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0" borderId="50" xfId="0" applyFont="1" applyBorder="1" applyAlignment="1">
      <alignment horizontal="center" vertical="top"/>
    </xf>
    <xf numFmtId="0" fontId="12" fillId="0" borderId="5" xfId="0" applyFont="1" applyBorder="1" applyAlignment="1">
      <alignment horizontal="left" vertical="top" wrapText="1"/>
    </xf>
    <xf numFmtId="0" fontId="0" fillId="7" borderId="4" xfId="0" applyFill="1" applyBorder="1" applyAlignment="1" applyProtection="1">
      <alignment horizontal="left" wrapText="1"/>
      <protection locked="0"/>
    </xf>
    <xf numFmtId="0" fontId="46" fillId="0" borderId="0" xfId="0" applyFont="1" applyAlignment="1">
      <alignment horizontal="left" vertical="top" wrapText="1"/>
    </xf>
    <xf numFmtId="0" fontId="41" fillId="0" borderId="3"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42" fillId="0" borderId="4" xfId="0" applyFont="1" applyBorder="1" applyAlignment="1">
      <alignment horizontal="left"/>
    </xf>
    <xf numFmtId="0" fontId="42" fillId="0" borderId="8" xfId="0" applyFont="1" applyBorder="1" applyAlignment="1">
      <alignment horizontal="left"/>
    </xf>
    <xf numFmtId="1" fontId="4" fillId="0" borderId="12"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1" fontId="11" fillId="0" borderId="12" xfId="0" applyNumberFormat="1" applyFont="1" applyBorder="1" applyAlignment="1">
      <alignment horizontal="center"/>
    </xf>
    <xf numFmtId="166" fontId="4" fillId="0" borderId="9" xfId="0" applyNumberFormat="1" applyFont="1" applyBorder="1" applyAlignment="1">
      <alignment horizontal="center"/>
    </xf>
    <xf numFmtId="166" fontId="4" fillId="0" borderId="5" xfId="0" applyNumberFormat="1" applyFont="1" applyBorder="1" applyAlignment="1">
      <alignment horizontal="center"/>
    </xf>
    <xf numFmtId="166" fontId="4"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2" fillId="2" borderId="3" xfId="0" applyFont="1" applyFill="1" applyBorder="1" applyAlignment="1">
      <alignment horizontal="center"/>
    </xf>
    <xf numFmtId="0" fontId="32" fillId="2" borderId="8" xfId="0" applyFont="1" applyFill="1" applyBorder="1" applyAlignment="1">
      <alignment horizontal="center"/>
    </xf>
    <xf numFmtId="0" fontId="32" fillId="0" borderId="3" xfId="0" applyFont="1" applyBorder="1" applyAlignment="1">
      <alignment horizontal="center"/>
    </xf>
    <xf numFmtId="0" fontId="32" fillId="0" borderId="8" xfId="0"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0" fillId="0" borderId="1" xfId="0" applyBorder="1" applyAlignment="1">
      <alignment horizontal="center" wrapText="1"/>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0" borderId="5" xfId="0" applyFont="1" applyBorder="1" applyAlignment="1">
      <alignment horizontal="left"/>
    </xf>
    <xf numFmtId="0" fontId="12"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7" borderId="5" xfId="0" applyFont="1" applyFill="1" applyBorder="1" applyAlignment="1" applyProtection="1">
      <alignment horizontal="left" wrapText="1" shrinkToFit="1"/>
      <protection locked="0"/>
    </xf>
    <xf numFmtId="0" fontId="127" fillId="0" borderId="0" xfId="0" applyFont="1" applyAlignment="1">
      <alignment horizontal="left"/>
    </xf>
    <xf numFmtId="0" fontId="12" fillId="0" borderId="0" xfId="0" applyFont="1" applyAlignment="1">
      <alignment horizontal="left" vertical="top" wrapText="1" shrinkToFit="1"/>
    </xf>
    <xf numFmtId="172" fontId="12" fillId="2" borderId="3" xfId="546" applyNumberFormat="1" applyFont="1" applyFill="1" applyBorder="1" applyAlignment="1">
      <alignment horizontal="center"/>
    </xf>
    <xf numFmtId="172" fontId="12" fillId="2" borderId="4" xfId="546" applyNumberFormat="1" applyFont="1" applyFill="1" applyBorder="1" applyAlignment="1">
      <alignment horizontal="center"/>
    </xf>
    <xf numFmtId="172" fontId="12" fillId="2" borderId="8" xfId="546" applyNumberFormat="1" applyFont="1" applyFill="1" applyBorder="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164" fontId="12" fillId="0" borderId="46" xfId="0" applyNumberFormat="1" applyFont="1" applyBorder="1" applyAlignment="1">
      <alignment horizontal="center" vertical="top" wrapText="1"/>
    </xf>
    <xf numFmtId="164" fontId="12" fillId="0" borderId="47" xfId="0" applyNumberFormat="1" applyFont="1" applyBorder="1" applyAlignment="1">
      <alignment horizontal="center" vertical="top" wrapText="1"/>
    </xf>
    <xf numFmtId="164" fontId="12" fillId="0" borderId="48" xfId="0" applyNumberFormat="1" applyFont="1" applyBorder="1" applyAlignment="1">
      <alignment horizontal="center" vertical="top" wrapText="1"/>
    </xf>
    <xf numFmtId="164" fontId="12" fillId="0" borderId="49" xfId="0" applyNumberFormat="1" applyFont="1" applyBorder="1" applyAlignment="1">
      <alignment horizontal="center" vertical="top" wrapText="1"/>
    </xf>
    <xf numFmtId="164" fontId="12" fillId="0" borderId="0" xfId="0" applyNumberFormat="1" applyFont="1" applyAlignment="1">
      <alignment horizontal="center" vertical="top" wrapText="1"/>
    </xf>
    <xf numFmtId="164" fontId="12" fillId="0" borderId="50" xfId="0" applyNumberFormat="1" applyFont="1" applyBorder="1" applyAlignment="1">
      <alignment horizontal="center" vertical="top" wrapText="1"/>
    </xf>
    <xf numFmtId="164" fontId="12" fillId="0" borderId="52" xfId="0" applyNumberFormat="1" applyFont="1" applyBorder="1" applyAlignment="1">
      <alignment horizontal="center" vertical="top" wrapText="1"/>
    </xf>
    <xf numFmtId="164" fontId="12" fillId="0" borderId="53" xfId="0" applyNumberFormat="1" applyFont="1" applyBorder="1" applyAlignment="1">
      <alignment horizontal="center" vertical="top" wrapText="1"/>
    </xf>
    <xf numFmtId="164" fontId="12" fillId="0" borderId="54" xfId="0" applyNumberFormat="1" applyFont="1" applyBorder="1" applyAlignment="1">
      <alignment horizontal="center" vertical="top" wrapText="1"/>
    </xf>
    <xf numFmtId="0" fontId="11" fillId="0" borderId="12" xfId="0" applyFont="1" applyBorder="1" applyAlignment="1">
      <alignment horizontal="right"/>
    </xf>
    <xf numFmtId="0" fontId="12" fillId="0" borderId="3" xfId="546" applyFont="1" applyBorder="1" applyAlignment="1">
      <alignment horizontal="center"/>
    </xf>
    <xf numFmtId="0" fontId="12" fillId="0" borderId="4" xfId="546" applyFont="1" applyBorder="1" applyAlignment="1">
      <alignment horizontal="center"/>
    </xf>
    <xf numFmtId="0" fontId="12" fillId="0" borderId="8" xfId="546" applyFont="1" applyBorder="1" applyAlignment="1">
      <alignment horizontal="center"/>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 fontId="4" fillId="12" borderId="9" xfId="0" applyNumberFormat="1" applyFont="1" applyFill="1" applyBorder="1" applyAlignment="1">
      <alignment horizontal="center"/>
    </xf>
    <xf numFmtId="1" fontId="4" fillId="12" borderId="5" xfId="0" applyNumberFormat="1" applyFont="1" applyFill="1" applyBorder="1" applyAlignment="1">
      <alignment horizontal="center"/>
    </xf>
    <xf numFmtId="1" fontId="4"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 fontId="4" fillId="12" borderId="12" xfId="0" applyNumberFormat="1" applyFont="1" applyFill="1" applyBorder="1" applyAlignment="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4" fillId="7" borderId="3" xfId="0" applyFont="1" applyFill="1" applyBorder="1" applyAlignment="1" applyProtection="1">
      <alignment horizontal="center" wrapText="1"/>
      <protection locked="0"/>
    </xf>
    <xf numFmtId="0" fontId="4" fillId="7" borderId="8" xfId="0" applyFont="1" applyFill="1" applyBorder="1" applyAlignment="1" applyProtection="1">
      <alignment horizontal="center" wrapText="1"/>
      <protection locked="0"/>
    </xf>
    <xf numFmtId="0" fontId="11" fillId="0" borderId="4" xfId="0" applyFont="1" applyBorder="1"/>
    <xf numFmtId="0" fontId="11" fillId="0" borderId="8" xfId="0" applyFont="1" applyBorder="1"/>
    <xf numFmtId="1" fontId="4" fillId="12" borderId="3" xfId="0" applyNumberFormat="1" applyFont="1" applyFill="1" applyBorder="1" applyAlignment="1">
      <alignment horizontal="center"/>
    </xf>
    <xf numFmtId="1" fontId="4" fillId="12" borderId="4" xfId="0" applyNumberFormat="1" applyFont="1" applyFill="1" applyBorder="1" applyAlignment="1">
      <alignment horizontal="center"/>
    </xf>
    <xf numFmtId="1" fontId="4" fillId="12" borderId="8" xfId="0" applyNumberFormat="1"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 fontId="4" fillId="11" borderId="3" xfId="0" applyNumberFormat="1" applyFont="1" applyFill="1" applyBorder="1" applyAlignment="1">
      <alignment horizontal="center" vertical="center"/>
    </xf>
    <xf numFmtId="1" fontId="4" fillId="11" borderId="8" xfId="0" applyNumberFormat="1" applyFont="1" applyFill="1" applyBorder="1" applyAlignment="1">
      <alignment horizontal="center" vertical="center"/>
    </xf>
    <xf numFmtId="1" fontId="34" fillId="0" borderId="3" xfId="0" quotePrefix="1" applyNumberFormat="1" applyFont="1" applyBorder="1" applyAlignment="1">
      <alignment horizontal="center" wrapText="1"/>
    </xf>
    <xf numFmtId="1" fontId="34" fillId="0" borderId="4" xfId="0" quotePrefix="1" applyNumberFormat="1" applyFont="1" applyBorder="1" applyAlignment="1">
      <alignment horizontal="center" wrapText="1"/>
    </xf>
    <xf numFmtId="1" fontId="34" fillId="0" borderId="8" xfId="0" quotePrefix="1" applyNumberFormat="1"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11" borderId="4" xfId="0" applyFont="1" applyFill="1" applyBorder="1" applyAlignment="1">
      <alignment horizontal="center"/>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164" fontId="12" fillId="0" borderId="0" xfId="0" applyNumberFormat="1" applyFont="1" applyAlignment="1">
      <alignment horizontal="left" vertical="top" wrapText="1"/>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4" fillId="0" borderId="13" xfId="0" applyFont="1" applyBorder="1" applyAlignment="1">
      <alignment horizontal="left" vertical="top" wrapText="1"/>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0" xfId="0" applyFont="1" applyAlignment="1">
      <alignment horizontal="center" vertical="center" wrapText="1"/>
    </xf>
    <xf numFmtId="0" fontId="31" fillId="0" borderId="13" xfId="0" applyFont="1" applyBorder="1" applyAlignment="1">
      <alignment horizontal="center" vertical="center" wrapText="1"/>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1" fontId="117" fillId="0" borderId="0" xfId="575" applyNumberFormat="1" applyFont="1" applyAlignment="1">
      <alignment horizontal="center"/>
    </xf>
    <xf numFmtId="1" fontId="117" fillId="0" borderId="5" xfId="575" applyNumberFormat="1" applyFont="1" applyBorder="1" applyAlignment="1">
      <alignment horizontal="center"/>
    </xf>
    <xf numFmtId="182" fontId="118" fillId="0" borderId="3" xfId="575" applyNumberFormat="1" applyFont="1" applyBorder="1" applyAlignment="1">
      <alignment horizontal="center"/>
    </xf>
    <xf numFmtId="182" fontId="118" fillId="0" borderId="4" xfId="575" applyNumberFormat="1" applyFont="1" applyBorder="1" applyAlignment="1">
      <alignment horizontal="center"/>
    </xf>
    <xf numFmtId="182" fontId="118" fillId="0" borderId="8" xfId="575" applyNumberFormat="1" applyFont="1" applyBorder="1" applyAlignment="1">
      <alignment horizontal="center"/>
    </xf>
    <xf numFmtId="2" fontId="117" fillId="0" borderId="0" xfId="575" applyNumberFormat="1" applyFont="1" applyAlignment="1">
      <alignment horizontal="center"/>
    </xf>
    <xf numFmtId="2" fontId="117" fillId="0" borderId="5" xfId="575" applyNumberFormat="1" applyFont="1" applyBorder="1" applyAlignment="1">
      <alignment horizontal="center"/>
    </xf>
    <xf numFmtId="0" fontId="117" fillId="0" borderId="0" xfId="575" applyFont="1" applyAlignment="1">
      <alignment horizontal="center"/>
    </xf>
    <xf numFmtId="0" fontId="117" fillId="0" borderId="5" xfId="575" applyFont="1" applyBorder="1" applyAlignment="1">
      <alignment horizontal="center"/>
    </xf>
    <xf numFmtId="2" fontId="117" fillId="0" borderId="2" xfId="575" applyNumberFormat="1" applyFont="1" applyBorder="1" applyAlignment="1">
      <alignment horizontal="center"/>
    </xf>
    <xf numFmtId="0" fontId="117" fillId="51" borderId="5" xfId="575" applyFont="1" applyFill="1" applyBorder="1" applyAlignment="1" applyProtection="1">
      <alignment horizontal="center"/>
      <protection locked="0"/>
    </xf>
    <xf numFmtId="0" fontId="121" fillId="52" borderId="0" xfId="575" applyFont="1" applyFill="1" applyAlignment="1">
      <alignment horizontal="center"/>
    </xf>
    <xf numFmtId="49" fontId="10" fillId="5" borderId="0" xfId="278" applyNumberFormat="1" applyFont="1" applyFill="1" applyAlignment="1">
      <alignment horizontal="center" vertical="center"/>
    </xf>
    <xf numFmtId="44" fontId="118" fillId="0" borderId="3" xfId="164" applyFont="1" applyFill="1" applyBorder="1" applyAlignment="1">
      <alignment horizontal="center"/>
    </xf>
    <xf numFmtId="44" fontId="118" fillId="0" borderId="4" xfId="164" applyFont="1" applyFill="1" applyBorder="1" applyAlignment="1">
      <alignment horizontal="center"/>
    </xf>
    <xf numFmtId="44" fontId="118" fillId="0" borderId="8" xfId="164" applyFont="1" applyFill="1" applyBorder="1" applyAlignment="1">
      <alignment horizontal="center"/>
    </xf>
    <xf numFmtId="49" fontId="117" fillId="51" borderId="5" xfId="575" applyNumberFormat="1" applyFont="1" applyFill="1" applyBorder="1" applyAlignment="1" applyProtection="1">
      <alignment horizontal="center"/>
      <protection locked="0"/>
    </xf>
    <xf numFmtId="176" fontId="117" fillId="0" borderId="5" xfId="575" applyNumberFormat="1" applyFont="1" applyBorder="1" applyAlignment="1">
      <alignment horizontal="center"/>
    </xf>
    <xf numFmtId="0" fontId="117" fillId="51" borderId="5" xfId="575" applyFont="1" applyFill="1" applyBorder="1" applyAlignment="1" applyProtection="1">
      <alignment horizontal="left"/>
      <protection locked="0"/>
    </xf>
    <xf numFmtId="169" fontId="117" fillId="0" borderId="0" xfId="577" applyNumberFormat="1" applyFont="1" applyFill="1" applyBorder="1" applyAlignment="1" applyProtection="1">
      <alignment horizontal="center" vertical="center"/>
    </xf>
    <xf numFmtId="1" fontId="117" fillId="0" borderId="2" xfId="575" applyNumberFormat="1" applyFont="1" applyBorder="1" applyAlignment="1">
      <alignment horizontal="center"/>
    </xf>
    <xf numFmtId="0" fontId="117" fillId="0" borderId="2" xfId="575" applyFont="1" applyBorder="1" applyAlignment="1">
      <alignment horizontal="center"/>
    </xf>
    <xf numFmtId="181" fontId="117" fillId="0" borderId="0" xfId="575" applyNumberFormat="1" applyFont="1" applyAlignment="1">
      <alignment horizontal="center"/>
    </xf>
    <xf numFmtId="169" fontId="9" fillId="0" borderId="0" xfId="273" applyNumberFormat="1" applyFont="1" applyAlignment="1">
      <alignment horizontal="right"/>
    </xf>
    <xf numFmtId="0" fontId="9" fillId="0" borderId="2" xfId="273" applyFont="1" applyBorder="1" applyAlignment="1">
      <alignment horizontal="center" vertical="center"/>
    </xf>
    <xf numFmtId="0" fontId="9" fillId="0" borderId="0" xfId="273" applyFont="1" applyAlignment="1">
      <alignment horizontal="center" vertical="center"/>
    </xf>
    <xf numFmtId="0" fontId="58" fillId="0" borderId="0" xfId="273" applyFont="1" applyAlignment="1">
      <alignment horizontal="right" vertic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3" fontId="9" fillId="0" borderId="5" xfId="273" applyNumberFormat="1" applyFont="1" applyBorder="1" applyAlignment="1">
      <alignment horizontal="center"/>
    </xf>
    <xf numFmtId="3" fontId="13" fillId="0" borderId="5" xfId="273" applyNumberFormat="1" applyBorder="1"/>
    <xf numFmtId="0" fontId="47" fillId="0" borderId="0" xfId="273" applyFont="1" applyAlignment="1">
      <alignment horizontal="center" vertical="center"/>
    </xf>
    <xf numFmtId="3" fontId="9" fillId="0" borderId="2" xfId="273" applyNumberFormat="1" applyFont="1" applyBorder="1" applyAlignment="1">
      <alignment horizontal="center"/>
    </xf>
    <xf numFmtId="3" fontId="13" fillId="0" borderId="0" xfId="273" applyNumberFormat="1"/>
    <xf numFmtId="0" fontId="49" fillId="0" borderId="0" xfId="273" applyFont="1" applyAlignment="1">
      <alignment horizontal="left" vertical="top" wrapText="1"/>
    </xf>
    <xf numFmtId="0" fontId="9" fillId="0" borderId="0" xfId="273" applyFont="1" applyAlignment="1">
      <alignment horizontal="left"/>
    </xf>
    <xf numFmtId="0" fontId="49" fillId="0" borderId="0" xfId="273" applyFont="1" applyAlignment="1">
      <alignment horizontal="left" vertical="center"/>
    </xf>
    <xf numFmtId="0" fontId="9" fillId="0" borderId="5" xfId="273" applyFont="1" applyBorder="1" applyAlignment="1">
      <alignment horizontal="left"/>
    </xf>
    <xf numFmtId="1" fontId="9" fillId="7" borderId="0" xfId="273" applyNumberFormat="1" applyFont="1" applyFill="1" applyAlignment="1" applyProtection="1">
      <alignment horizontal="left" vertical="center"/>
      <protection locked="0"/>
    </xf>
    <xf numFmtId="0" fontId="49" fillId="0" borderId="73" xfId="273" applyFont="1" applyBorder="1" applyAlignment="1">
      <alignment horizontal="left" vertical="center" wrapText="1"/>
    </xf>
    <xf numFmtId="0" fontId="49" fillId="0" borderId="2" xfId="273" applyFont="1" applyBorder="1" applyAlignment="1">
      <alignment horizontal="left" vertical="center" wrapText="1"/>
    </xf>
    <xf numFmtId="0" fontId="49" fillId="0" borderId="49" xfId="273" applyFont="1" applyBorder="1" applyAlignment="1">
      <alignment horizontal="left" vertical="center" wrapText="1"/>
    </xf>
    <xf numFmtId="0" fontId="49" fillId="0" borderId="0" xfId="273" applyFont="1" applyAlignment="1">
      <alignment horizontal="left" vertical="center" wrapText="1"/>
    </xf>
    <xf numFmtId="0" fontId="49" fillId="0" borderId="0" xfId="273" applyFont="1" applyAlignment="1">
      <alignment horizontal="left"/>
    </xf>
    <xf numFmtId="0" fontId="50"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7" borderId="4" xfId="273" applyFont="1" applyFill="1" applyBorder="1" applyAlignment="1" applyProtection="1">
      <alignment horizontal="left"/>
      <protection locked="0"/>
    </xf>
    <xf numFmtId="0" fontId="51" fillId="0" borderId="2" xfId="273" applyFont="1" applyBorder="1" applyAlignment="1">
      <alignment horizontal="left"/>
    </xf>
    <xf numFmtId="169" fontId="9" fillId="0" borderId="0" xfId="273" applyNumberFormat="1" applyFont="1" applyAlignment="1">
      <alignment horizontal="left"/>
    </xf>
    <xf numFmtId="49" fontId="48" fillId="5" borderId="0" xfId="273" applyNumberFormat="1" applyFont="1" applyFill="1" applyAlignment="1">
      <alignment horizontal="center" vertical="center"/>
    </xf>
    <xf numFmtId="169" fontId="49"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2" fontId="9" fillId="0" borderId="31" xfId="273" applyNumberFormat="1" applyFont="1" applyBorder="1" applyAlignment="1">
      <alignment horizontal="center" vertical="center"/>
    </xf>
    <xf numFmtId="2" fontId="9" fillId="0" borderId="32" xfId="273" applyNumberFormat="1" applyFont="1" applyBorder="1" applyAlignment="1">
      <alignment horizontal="center" vertical="center"/>
    </xf>
    <xf numFmtId="176" fontId="49" fillId="0" borderId="31" xfId="573" applyNumberFormat="1" applyFont="1" applyBorder="1" applyAlignment="1" applyProtection="1">
      <alignment horizontal="center" vertical="center"/>
    </xf>
    <xf numFmtId="176" fontId="49" fillId="0" borderId="32" xfId="573" applyNumberFormat="1" applyFont="1" applyBorder="1" applyAlignment="1" applyProtection="1">
      <alignment horizontal="center" vertical="center"/>
    </xf>
    <xf numFmtId="2" fontId="49" fillId="49" borderId="31" xfId="273" applyNumberFormat="1" applyFont="1" applyFill="1" applyBorder="1" applyAlignment="1">
      <alignment horizontal="center" vertical="center"/>
    </xf>
    <xf numFmtId="2" fontId="49" fillId="49" borderId="32" xfId="273" applyNumberFormat="1" applyFont="1" applyFill="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0" fontId="25" fillId="0" borderId="2" xfId="0" applyFont="1" applyBorder="1" applyAlignment="1">
      <alignment horizontal="left"/>
    </xf>
    <xf numFmtId="10" fontId="0" fillId="0" borderId="12" xfId="0" applyNumberFormat="1" applyBorder="1" applyAlignment="1" applyProtection="1">
      <alignment horizontal="center"/>
      <protection locked="0"/>
    </xf>
  </cellXfs>
  <cellStyles count="9555">
    <cellStyle name="20% - Accent1" xfId="1" builtinId="30" customBuiltin="1"/>
    <cellStyle name="20% - Accent1 10" xfId="5335" xr:uid="{249C113A-E3FB-404B-85EC-DDD8B9046615}"/>
    <cellStyle name="20% - Accent1 11" xfId="1031" xr:uid="{58D7AD50-1701-45A7-A78D-3E7682EBB54B}"/>
    <cellStyle name="20% - Accent1 2" xfId="2" xr:uid="{00000000-0005-0000-0000-000001000000}"/>
    <cellStyle name="20% - Accent1 2 10" xfId="1032" xr:uid="{22C55877-7E16-4ED2-8656-B7CB8711EDAD}"/>
    <cellStyle name="20% - Accent1 2 2" xfId="3" xr:uid="{00000000-0005-0000-0000-000002000000}"/>
    <cellStyle name="20% - Accent1 2 2 2" xfId="4" xr:uid="{00000000-0005-0000-0000-000003000000}"/>
    <cellStyle name="20% - Accent1 2 2 2 2" xfId="581" xr:uid="{00000000-0005-0000-0000-000004000000}"/>
    <cellStyle name="20% - Accent1 2 2 2 2 2" xfId="3679" xr:uid="{5609FDEE-B773-4241-970B-6FDC0D52DA93}"/>
    <cellStyle name="20% - Accent1 2 2 2 2 2 2" xfId="7897" xr:uid="{BE2E788F-1F5D-4D6D-B316-002DBCD8986F}"/>
    <cellStyle name="20% - Accent1 2 2 2 2 3" xfId="5752" xr:uid="{DC757CD0-285E-49C3-905E-E22CF7FCA36A}"/>
    <cellStyle name="20% - Accent1 2 2 2 2 4" xfId="1448" xr:uid="{4A4BA0F8-9877-4D26-BF23-71AB00B6BE58}"/>
    <cellStyle name="20% - Accent1 2 2 2 3" xfId="1863" xr:uid="{5D739609-2F3F-49F0-A86F-FF30FB78F973}"/>
    <cellStyle name="20% - Accent1 2 2 2 3 2" xfId="4092" xr:uid="{F8BBDFFD-8702-49C1-B4A6-FE296395F469}"/>
    <cellStyle name="20% - Accent1 2 2 2 3 2 2" xfId="8310" xr:uid="{194D24B1-4DF7-4A19-BD4B-558D6B355D96}"/>
    <cellStyle name="20% - Accent1 2 2 2 3 3" xfId="6165" xr:uid="{44E5D783-4BA0-4569-8E7D-873713DB4F8C}"/>
    <cellStyle name="20% - Accent1 2 2 2 4" xfId="2276" xr:uid="{B5BB5FD3-5CB6-4196-9FCB-9917C144A334}"/>
    <cellStyle name="20% - Accent1 2 2 2 4 2" xfId="4505" xr:uid="{7DBA1054-56AF-4B92-BBDD-A7F210387683}"/>
    <cellStyle name="20% - Accent1 2 2 2 4 2 2" xfId="8723" xr:uid="{71722481-7B4F-482E-9680-AC52FE003622}"/>
    <cellStyle name="20% - Accent1 2 2 2 4 3" xfId="6578" xr:uid="{2588012E-C955-465E-9913-663834B670CD}"/>
    <cellStyle name="20% - Accent1 2 2 2 5" xfId="2689" xr:uid="{CB661557-9EEF-4675-B13A-1DD971E87F13}"/>
    <cellStyle name="20% - Accent1 2 2 2 5 2" xfId="4918" xr:uid="{ABF05A8D-C1B5-41F6-8AE9-4852C1D4759A}"/>
    <cellStyle name="20% - Accent1 2 2 2 5 2 2" xfId="9136" xr:uid="{4C9CFFE7-368F-4177-AB28-50A9DAEADBD8}"/>
    <cellStyle name="20% - Accent1 2 2 2 5 3" xfId="6991" xr:uid="{105D5346-8284-4256-A1F6-7372F027ABB4}"/>
    <cellStyle name="20% - Accent1 2 2 2 6" xfId="3102" xr:uid="{89303B17-FD78-4C28-B735-35DFCC111ECF}"/>
    <cellStyle name="20% - Accent1 2 2 2 6 2" xfId="7404" xr:uid="{E7AC6367-D99A-4464-9470-00AEA580C4FB}"/>
    <cellStyle name="20% - Accent1 2 2 2 7" xfId="5338" xr:uid="{A6B8BB07-EEE8-4C38-A954-2EE4244449D8}"/>
    <cellStyle name="20% - Accent1 2 2 2 8" xfId="1034" xr:uid="{45805DBA-DD00-4295-924C-B742BA0CDE4D}"/>
    <cellStyle name="20% - Accent1 2 2 3" xfId="580" xr:uid="{00000000-0005-0000-0000-000005000000}"/>
    <cellStyle name="20% - Accent1 2 2 3 2" xfId="3678" xr:uid="{47CDB983-00D0-42E7-8967-F217830B9B1B}"/>
    <cellStyle name="20% - Accent1 2 2 3 2 2" xfId="7896" xr:uid="{0F8E4DA0-FFC7-4408-9463-F37EBDFF20B5}"/>
    <cellStyle name="20% - Accent1 2 2 3 3" xfId="5751" xr:uid="{2F0C1D13-E639-4590-BBDA-6F4E5423A3C7}"/>
    <cellStyle name="20% - Accent1 2 2 3 4" xfId="1447" xr:uid="{E867827D-3CCC-4276-BD2B-1D320E38D925}"/>
    <cellStyle name="20% - Accent1 2 2 4" xfId="1862" xr:uid="{A636B2A0-B2C4-4AC9-A11C-014149B40666}"/>
    <cellStyle name="20% - Accent1 2 2 4 2" xfId="4091" xr:uid="{2DE62894-AD76-4263-A5A7-FBC03BC3365D}"/>
    <cellStyle name="20% - Accent1 2 2 4 2 2" xfId="8309" xr:uid="{9B3F64B0-E4C6-44A0-9AAA-9C57758DBB31}"/>
    <cellStyle name="20% - Accent1 2 2 4 3" xfId="6164" xr:uid="{9E608BB0-F0B9-4CA6-84CF-E3B2FAEA3D55}"/>
    <cellStyle name="20% - Accent1 2 2 5" xfId="2275" xr:uid="{516A2F94-D3E3-4964-8174-22ED2222C5CB}"/>
    <cellStyle name="20% - Accent1 2 2 5 2" xfId="4504" xr:uid="{261A066D-64A7-41C3-A2A2-9473FCDD2A1C}"/>
    <cellStyle name="20% - Accent1 2 2 5 2 2" xfId="8722" xr:uid="{2E9AE055-3C3F-4171-90AA-55AF60327C28}"/>
    <cellStyle name="20% - Accent1 2 2 5 3" xfId="6577" xr:uid="{8595F61B-1CB9-4211-B126-37F7146CCE0C}"/>
    <cellStyle name="20% - Accent1 2 2 6" xfId="2688" xr:uid="{6E5BE103-0619-4C6A-8574-43E7FEC18CE1}"/>
    <cellStyle name="20% - Accent1 2 2 6 2" xfId="4917" xr:uid="{EDC2987D-4F9D-4D84-BED5-C139E488CCD4}"/>
    <cellStyle name="20% - Accent1 2 2 6 2 2" xfId="9135" xr:uid="{C7A55285-5513-4922-AD5D-4A21CF0A5E77}"/>
    <cellStyle name="20% - Accent1 2 2 6 3" xfId="6990" xr:uid="{2263BB5E-8AFF-4FC2-98FC-BA479F66B17D}"/>
    <cellStyle name="20% - Accent1 2 2 7" xfId="3101" xr:uid="{0997258F-DE6F-44AF-8DDF-05DAACF5F09A}"/>
    <cellStyle name="20% - Accent1 2 2 7 2" xfId="7403" xr:uid="{4019BFAE-ADF8-4DAF-999B-C7A2826EC592}"/>
    <cellStyle name="20% - Accent1 2 2 8" xfId="5337" xr:uid="{DEC0057C-4520-4A74-ADC1-70A0D34756B9}"/>
    <cellStyle name="20% - Accent1 2 2 9" xfId="1033" xr:uid="{101E247B-860A-4270-B859-9E60743B6C19}"/>
    <cellStyle name="20% - Accent1 2 3" xfId="5" xr:uid="{00000000-0005-0000-0000-000006000000}"/>
    <cellStyle name="20% - Accent1 2 3 2" xfId="582" xr:uid="{00000000-0005-0000-0000-000007000000}"/>
    <cellStyle name="20% - Accent1 2 3 2 2" xfId="3680" xr:uid="{70013130-025E-4ABF-B58B-7632A716CF71}"/>
    <cellStyle name="20% - Accent1 2 3 2 2 2" xfId="7898" xr:uid="{9708DA3D-37C5-43D4-A776-1888D22E0CE1}"/>
    <cellStyle name="20% - Accent1 2 3 2 3" xfId="5753" xr:uid="{741CBFAB-7DF8-4F66-A376-F0124B203B78}"/>
    <cellStyle name="20% - Accent1 2 3 2 4" xfId="1449" xr:uid="{BDFB995E-ABA9-4750-A8EA-3CEE16CB29C6}"/>
    <cellStyle name="20% - Accent1 2 3 3" xfId="1864" xr:uid="{D6F0BA2E-26AE-42C2-B52A-76FF8866447E}"/>
    <cellStyle name="20% - Accent1 2 3 3 2" xfId="4093" xr:uid="{38704EF5-E002-4D50-9EFC-E546AB781CD3}"/>
    <cellStyle name="20% - Accent1 2 3 3 2 2" xfId="8311" xr:uid="{58897E4F-CFBF-4387-BB2B-0D5840DC63F5}"/>
    <cellStyle name="20% - Accent1 2 3 3 3" xfId="6166" xr:uid="{275B1F28-D1D0-4502-A270-899FA85439ED}"/>
    <cellStyle name="20% - Accent1 2 3 4" xfId="2277" xr:uid="{1B1268EF-23B5-49CE-8CE7-EFDC4F738AB0}"/>
    <cellStyle name="20% - Accent1 2 3 4 2" xfId="4506" xr:uid="{C7D406EF-24E9-43D2-B536-55D33271E2B7}"/>
    <cellStyle name="20% - Accent1 2 3 4 2 2" xfId="8724" xr:uid="{C28E73DC-DE58-4805-8C1F-BE4E4EE9D88A}"/>
    <cellStyle name="20% - Accent1 2 3 4 3" xfId="6579" xr:uid="{F2B60713-8F2C-4262-A7EA-14B4720247A7}"/>
    <cellStyle name="20% - Accent1 2 3 5" xfId="2690" xr:uid="{BFA54C38-E676-488D-A866-44DFAD3849B1}"/>
    <cellStyle name="20% - Accent1 2 3 5 2" xfId="4919" xr:uid="{92A2D149-D37B-48E6-AA41-36FEDD8F9436}"/>
    <cellStyle name="20% - Accent1 2 3 5 2 2" xfId="9137" xr:uid="{AE12EEA5-F477-41FD-B0DA-8EBF4A7C4C78}"/>
    <cellStyle name="20% - Accent1 2 3 5 3" xfId="6992" xr:uid="{9719C05D-0C90-4727-BE4E-766B392F4507}"/>
    <cellStyle name="20% - Accent1 2 3 6" xfId="3103" xr:uid="{5C0C0619-A5DB-4FAC-B6DD-4EDA967C5DA8}"/>
    <cellStyle name="20% - Accent1 2 3 6 2" xfId="7405" xr:uid="{E7F61482-354A-4BD8-A9F3-205C869BA272}"/>
    <cellStyle name="20% - Accent1 2 3 7" xfId="5339" xr:uid="{78B6645B-1553-47DC-A900-68E1D49ACE69}"/>
    <cellStyle name="20% - Accent1 2 3 8" xfId="1035" xr:uid="{0F021096-843A-4730-86C4-43030F492839}"/>
    <cellStyle name="20% - Accent1 2 4" xfId="579" xr:uid="{00000000-0005-0000-0000-000008000000}"/>
    <cellStyle name="20% - Accent1 2 4 2" xfId="3677" xr:uid="{23490AC9-9DA8-4AB6-889B-DED4D6365B02}"/>
    <cellStyle name="20% - Accent1 2 4 2 2" xfId="7895" xr:uid="{33EC6436-90DF-4B32-810A-01459182C199}"/>
    <cellStyle name="20% - Accent1 2 4 3" xfId="5750" xr:uid="{23E3DCE4-28FE-4165-B42D-28F6F9C7D09F}"/>
    <cellStyle name="20% - Accent1 2 4 4" xfId="1446" xr:uid="{A2842BF5-B13C-4588-B941-2662AED751B0}"/>
    <cellStyle name="20% - Accent1 2 5" xfId="1861" xr:uid="{04AC264D-8F6B-4687-96E8-1BBC187163E1}"/>
    <cellStyle name="20% - Accent1 2 5 2" xfId="4090" xr:uid="{240748E8-E165-4219-935D-85CA5BB640B4}"/>
    <cellStyle name="20% - Accent1 2 5 2 2" xfId="8308" xr:uid="{46E82EF8-8139-4DE9-BC95-34B5F4D0CC64}"/>
    <cellStyle name="20% - Accent1 2 5 3" xfId="6163" xr:uid="{330E5C17-3A0D-4EA1-AF89-6DF841983F0B}"/>
    <cellStyle name="20% - Accent1 2 6" xfId="2274" xr:uid="{200AF3D3-1064-40AE-8490-41175CAC8B13}"/>
    <cellStyle name="20% - Accent1 2 6 2" xfId="4503" xr:uid="{F0BE9572-B80D-48EC-93EA-7BF385345158}"/>
    <cellStyle name="20% - Accent1 2 6 2 2" xfId="8721" xr:uid="{E3F25FC8-7C19-4A4F-8FAE-9073271F2672}"/>
    <cellStyle name="20% - Accent1 2 6 3" xfId="6576" xr:uid="{68263E54-21F4-4D5B-896B-AB7A133AD08B}"/>
    <cellStyle name="20% - Accent1 2 7" xfId="2687" xr:uid="{58A60A4B-B06F-414F-A366-B3BEEDF2110D}"/>
    <cellStyle name="20% - Accent1 2 7 2" xfId="4916" xr:uid="{4027843C-ACEA-49DC-96DE-A98A59A30358}"/>
    <cellStyle name="20% - Accent1 2 7 2 2" xfId="9134" xr:uid="{D791A4CA-2EEF-4E0D-BD08-B96DAE657A61}"/>
    <cellStyle name="20% - Accent1 2 7 3" xfId="6989" xr:uid="{95775097-ED26-4833-ACC5-ACE88C56EB7C}"/>
    <cellStyle name="20% - Accent1 2 8" xfId="3100" xr:uid="{402A4B29-6852-4CBF-B3CB-9C727B458CC2}"/>
    <cellStyle name="20% - Accent1 2 8 2" xfId="7402" xr:uid="{3DBA5FD1-9304-4D0B-9D18-0FA1B09DEF8D}"/>
    <cellStyle name="20% - Accent1 2 9" xfId="5336" xr:uid="{FFDCD93C-BD43-4231-95AA-E997697800C4}"/>
    <cellStyle name="20% - Accent1 3" xfId="6" xr:uid="{00000000-0005-0000-0000-000009000000}"/>
    <cellStyle name="20% - Accent1 3 2" xfId="7" xr:uid="{00000000-0005-0000-0000-00000A000000}"/>
    <cellStyle name="20% - Accent1 3 2 2" xfId="584" xr:uid="{00000000-0005-0000-0000-00000B000000}"/>
    <cellStyle name="20% - Accent1 3 2 2 2" xfId="3682" xr:uid="{33907AD8-3708-44E2-82F2-83915AEA374B}"/>
    <cellStyle name="20% - Accent1 3 2 2 2 2" xfId="7900" xr:uid="{14E769A1-73B3-47B7-BDA3-CD62F373CF17}"/>
    <cellStyle name="20% - Accent1 3 2 2 3" xfId="5755" xr:uid="{C38ED807-5D49-46E5-9EBD-B114E7A08487}"/>
    <cellStyle name="20% - Accent1 3 2 2 4" xfId="1451" xr:uid="{1A85FD25-7060-46AF-8232-41FA4E6ED8A2}"/>
    <cellStyle name="20% - Accent1 3 2 3" xfId="1866" xr:uid="{CB11D152-9B53-49E4-B92D-E65FFB79DF9D}"/>
    <cellStyle name="20% - Accent1 3 2 3 2" xfId="4095" xr:uid="{67EA664B-AE36-4D82-9011-E5CD91F2CE36}"/>
    <cellStyle name="20% - Accent1 3 2 3 2 2" xfId="8313" xr:uid="{B0BF2E43-26A5-4139-81F1-1437B8CECE28}"/>
    <cellStyle name="20% - Accent1 3 2 3 3" xfId="6168" xr:uid="{EE038292-E3E0-4D0F-B87C-5612527172A9}"/>
    <cellStyle name="20% - Accent1 3 2 4" xfId="2279" xr:uid="{39F76A5A-E173-4F37-B972-D8EC43C61982}"/>
    <cellStyle name="20% - Accent1 3 2 4 2" xfId="4508" xr:uid="{9AA5CE12-7251-4B27-B5B3-1E3BF383B0D3}"/>
    <cellStyle name="20% - Accent1 3 2 4 2 2" xfId="8726" xr:uid="{CFD3DA6F-9B51-4C69-8A01-5DDA0B84F91D}"/>
    <cellStyle name="20% - Accent1 3 2 4 3" xfId="6581" xr:uid="{1FD09B68-90D2-4DD5-8A2C-4949191BBBAD}"/>
    <cellStyle name="20% - Accent1 3 2 5" xfId="2692" xr:uid="{8E385A04-F956-46F3-80E3-A9BA68B6ECD0}"/>
    <cellStyle name="20% - Accent1 3 2 5 2" xfId="4921" xr:uid="{D0BBDB20-0668-492E-AAB5-7CFA4830BC77}"/>
    <cellStyle name="20% - Accent1 3 2 5 2 2" xfId="9139" xr:uid="{ABD8056B-9EBE-44DE-9B75-3DF37884DB70}"/>
    <cellStyle name="20% - Accent1 3 2 5 3" xfId="6994" xr:uid="{D931264F-CAFE-4052-B9EF-59A3687D9B46}"/>
    <cellStyle name="20% - Accent1 3 2 6" xfId="3105" xr:uid="{3D740515-456F-453E-9504-1E3A5CE072D1}"/>
    <cellStyle name="20% - Accent1 3 2 6 2" xfId="7407" xr:uid="{67EDC746-29D3-4F75-B2F7-93D3CF6E85E5}"/>
    <cellStyle name="20% - Accent1 3 2 7" xfId="5341" xr:uid="{8FCDB726-2078-47D0-9C26-2E3E222D8192}"/>
    <cellStyle name="20% - Accent1 3 2 8" xfId="1037" xr:uid="{39341577-A1AC-4D94-A45E-A21B0C682A9E}"/>
    <cellStyle name="20% - Accent1 3 3" xfId="583" xr:uid="{00000000-0005-0000-0000-00000C000000}"/>
    <cellStyle name="20% - Accent1 3 3 2" xfId="3681" xr:uid="{9FAAE925-61C6-4556-AD79-70126A36C12D}"/>
    <cellStyle name="20% - Accent1 3 3 2 2" xfId="7899" xr:uid="{F7430AE5-7679-4F0C-9F17-D6DEC5F365BD}"/>
    <cellStyle name="20% - Accent1 3 3 3" xfId="5754" xr:uid="{A81E56A1-08E2-42F0-9EDB-433BF9C90A6E}"/>
    <cellStyle name="20% - Accent1 3 3 4" xfId="1450" xr:uid="{1ACA5FB4-28EB-48CC-A797-4A484DDFA18B}"/>
    <cellStyle name="20% - Accent1 3 4" xfId="1865" xr:uid="{48FE2E38-4929-4F49-B941-D2099F614E19}"/>
    <cellStyle name="20% - Accent1 3 4 2" xfId="4094" xr:uid="{2EB2E900-D68B-4111-A927-C5178203C3DB}"/>
    <cellStyle name="20% - Accent1 3 4 2 2" xfId="8312" xr:uid="{64912794-F223-491A-87D7-48BC28CDFA4D}"/>
    <cellStyle name="20% - Accent1 3 4 3" xfId="6167" xr:uid="{0C8641D9-6E5C-45CC-8AA9-C38EEEB8894E}"/>
    <cellStyle name="20% - Accent1 3 5" xfId="2278" xr:uid="{1E07100A-95D3-4BA2-90D8-C3DD9FA1DA31}"/>
    <cellStyle name="20% - Accent1 3 5 2" xfId="4507" xr:uid="{5229CDC5-7639-44F9-9979-F3DA3F963E7F}"/>
    <cellStyle name="20% - Accent1 3 5 2 2" xfId="8725" xr:uid="{601B7A37-5CC7-4590-BCB0-09153859A48E}"/>
    <cellStyle name="20% - Accent1 3 5 3" xfId="6580" xr:uid="{ED5BD092-017D-4C06-A054-65528B392AD6}"/>
    <cellStyle name="20% - Accent1 3 6" xfId="2691" xr:uid="{A3F954FF-0551-4B4E-9013-506A835C3A3B}"/>
    <cellStyle name="20% - Accent1 3 6 2" xfId="4920" xr:uid="{A6021815-34D9-402B-9AA2-F1F9118BE15F}"/>
    <cellStyle name="20% - Accent1 3 6 2 2" xfId="9138" xr:uid="{36BAB0C0-7A51-47CE-85FB-FBDE5006EA13}"/>
    <cellStyle name="20% - Accent1 3 6 3" xfId="6993" xr:uid="{DC51DEB9-0C3C-48A2-A7D2-E44D3353CFA0}"/>
    <cellStyle name="20% - Accent1 3 7" xfId="3104" xr:uid="{A88BF3DB-ED78-40A5-AB98-21547A4E4C8F}"/>
    <cellStyle name="20% - Accent1 3 7 2" xfId="7406" xr:uid="{212C2CF3-8A7C-42BE-A29A-DF47375464E8}"/>
    <cellStyle name="20% - Accent1 3 8" xfId="5340" xr:uid="{61EBA27C-B003-4BBC-A57C-587085D7EA60}"/>
    <cellStyle name="20% - Accent1 3 9" xfId="1036" xr:uid="{462F6015-E21B-4D39-BC46-B7EAEF116ACF}"/>
    <cellStyle name="20% - Accent1 4" xfId="8" xr:uid="{00000000-0005-0000-0000-00000D000000}"/>
    <cellStyle name="20% - Accent1 4 2" xfId="585" xr:uid="{00000000-0005-0000-0000-00000E000000}"/>
    <cellStyle name="20% - Accent1 4 2 2" xfId="3683" xr:uid="{0A824B6D-AB33-49A9-B267-1CA5247F862F}"/>
    <cellStyle name="20% - Accent1 4 2 2 2" xfId="7901" xr:uid="{A584C96F-5D03-4577-9F2F-5C62B2A94B50}"/>
    <cellStyle name="20% - Accent1 4 2 3" xfId="5756" xr:uid="{7175F932-AEFE-4FD7-AB95-1A9F0F465916}"/>
    <cellStyle name="20% - Accent1 4 2 4" xfId="1452" xr:uid="{425A3DE9-4852-4422-B7B8-4C1AA9DC8839}"/>
    <cellStyle name="20% - Accent1 4 3" xfId="1867" xr:uid="{5DE9A4EC-7485-4E38-AFF5-85FBA2E9212D}"/>
    <cellStyle name="20% - Accent1 4 3 2" xfId="4096" xr:uid="{88B8AAEE-B9EE-4D60-AD9E-B93318773C1D}"/>
    <cellStyle name="20% - Accent1 4 3 2 2" xfId="8314" xr:uid="{F91337A0-030B-4E1D-868E-850EC0D32C64}"/>
    <cellStyle name="20% - Accent1 4 3 3" xfId="6169" xr:uid="{6F4C9385-94C1-4AAE-9FEC-F17AB7029448}"/>
    <cellStyle name="20% - Accent1 4 4" xfId="2280" xr:uid="{855CE179-062D-470A-9019-BDC35FEE8C2B}"/>
    <cellStyle name="20% - Accent1 4 4 2" xfId="4509" xr:uid="{F47D9923-2BE2-44ED-B8FC-19F42C79770A}"/>
    <cellStyle name="20% - Accent1 4 4 2 2" xfId="8727" xr:uid="{4C2C494A-A83C-495D-94E6-9CF8E4A45919}"/>
    <cellStyle name="20% - Accent1 4 4 3" xfId="6582" xr:uid="{7854C23B-0B91-4829-A7B1-9263DC22F307}"/>
    <cellStyle name="20% - Accent1 4 5" xfId="2693" xr:uid="{9F5F0168-E81C-4496-BCC1-BDE05E363E30}"/>
    <cellStyle name="20% - Accent1 4 5 2" xfId="4922" xr:uid="{AE8F0A3D-35C0-4A4E-9F63-CB88FBFAF7B7}"/>
    <cellStyle name="20% - Accent1 4 5 2 2" xfId="9140" xr:uid="{B83A6B12-5D9A-4940-A897-B10F0A88F3EF}"/>
    <cellStyle name="20% - Accent1 4 5 3" xfId="6995" xr:uid="{96E8184A-A503-48C5-99ED-BF54D191A8C4}"/>
    <cellStyle name="20% - Accent1 4 6" xfId="3106" xr:uid="{5C51AEA7-39B7-44EC-8084-E04004E6B1CB}"/>
    <cellStyle name="20% - Accent1 4 6 2" xfId="7408" xr:uid="{9821518E-32A7-4089-B76B-532A4BE8EA44}"/>
    <cellStyle name="20% - Accent1 4 7" xfId="5342" xr:uid="{1C7A2CF0-8AF5-4823-9B78-E0F886E0835F}"/>
    <cellStyle name="20% - Accent1 4 8" xfId="1038" xr:uid="{790EC33B-F49D-486A-A56A-8BB388F77487}"/>
    <cellStyle name="20% - Accent1 5" xfId="578" xr:uid="{00000000-0005-0000-0000-00000F000000}"/>
    <cellStyle name="20% - Accent1 5 2" xfId="3676" xr:uid="{D5ABA858-77C7-4EB9-941D-F34871EA98EF}"/>
    <cellStyle name="20% - Accent1 5 2 2" xfId="7894" xr:uid="{06B4A920-5815-4856-94A6-B0460AA87BE1}"/>
    <cellStyle name="20% - Accent1 5 3" xfId="5749" xr:uid="{019068C9-5DAD-4D14-8BF2-629B0E675ABD}"/>
    <cellStyle name="20% - Accent1 5 4" xfId="1445" xr:uid="{EC2965AD-88E8-4CD5-AE9D-D7530D6446A1}"/>
    <cellStyle name="20% - Accent1 6" xfId="1860" xr:uid="{0F9E0F21-90E3-4635-BEE6-F8CA70FC9E71}"/>
    <cellStyle name="20% - Accent1 6 2" xfId="4089" xr:uid="{9C0DD5F0-5E69-4731-BBAA-1FAB0AEB0D01}"/>
    <cellStyle name="20% - Accent1 6 2 2" xfId="8307" xr:uid="{4F335F20-B226-460B-ADEB-DB82900777D0}"/>
    <cellStyle name="20% - Accent1 6 3" xfId="6162" xr:uid="{2EC33674-9895-47A9-98F6-CD6E9F7936AA}"/>
    <cellStyle name="20% - Accent1 7" xfId="2273" xr:uid="{F035C045-EAC0-40C3-BFDF-839B4CC52796}"/>
    <cellStyle name="20% - Accent1 7 2" xfId="4502" xr:uid="{E997F0B5-BFD9-4A3A-974F-BF6B15C5AB4E}"/>
    <cellStyle name="20% - Accent1 7 2 2" xfId="8720" xr:uid="{CC2B8AFA-1F9A-46A8-BD52-BADC1C3490AF}"/>
    <cellStyle name="20% - Accent1 7 3" xfId="6575" xr:uid="{9B412619-3785-43D2-A54F-A6C0D0A48A1A}"/>
    <cellStyle name="20% - Accent1 8" xfId="2686" xr:uid="{9522F2DA-A4DE-42E9-8C6C-EF0B7EBBAD55}"/>
    <cellStyle name="20% - Accent1 8 2" xfId="4915" xr:uid="{9338C6F8-BDA1-4D3B-9540-DE9D17DEF47F}"/>
    <cellStyle name="20% - Accent1 8 2 2" xfId="9133" xr:uid="{FE7A6834-06DA-46C2-A7B9-D21F50E2A8C1}"/>
    <cellStyle name="20% - Accent1 8 3" xfId="6988" xr:uid="{A1DCD35B-9C21-41F7-872B-8A868D047D2B}"/>
    <cellStyle name="20% - Accent1 9" xfId="3099" xr:uid="{29C8F780-D016-48AB-9352-F8727111BE83}"/>
    <cellStyle name="20% - Accent1 9 2" xfId="7401" xr:uid="{8521DD18-BDA4-4EC2-AD6A-FB86D74F8964}"/>
    <cellStyle name="20% - Accent2" xfId="9" builtinId="34" customBuiltin="1"/>
    <cellStyle name="20% - Accent2 10" xfId="5343" xr:uid="{95A21411-998B-4248-BCA6-136FB0992641}"/>
    <cellStyle name="20% - Accent2 11" xfId="1039" xr:uid="{18294E10-74C8-48DA-B7EE-9F62E647908B}"/>
    <cellStyle name="20% - Accent2 2" xfId="10" xr:uid="{00000000-0005-0000-0000-000011000000}"/>
    <cellStyle name="20% - Accent2 2 10" xfId="1040" xr:uid="{842A9066-35BF-4506-9C86-3C1E5CFD050E}"/>
    <cellStyle name="20% - Accent2 2 2" xfId="11" xr:uid="{00000000-0005-0000-0000-000012000000}"/>
    <cellStyle name="20% - Accent2 2 2 2" xfId="12" xr:uid="{00000000-0005-0000-0000-000013000000}"/>
    <cellStyle name="20% - Accent2 2 2 2 2" xfId="589" xr:uid="{00000000-0005-0000-0000-000014000000}"/>
    <cellStyle name="20% - Accent2 2 2 2 2 2" xfId="3687" xr:uid="{564C689A-B622-47A1-A89E-62E5D53B810E}"/>
    <cellStyle name="20% - Accent2 2 2 2 2 2 2" xfId="7905" xr:uid="{96800C04-ABBD-4E94-980E-D47263F14BB7}"/>
    <cellStyle name="20% - Accent2 2 2 2 2 3" xfId="5760" xr:uid="{CB6525FA-92C9-4BA8-9242-A50101118479}"/>
    <cellStyle name="20% - Accent2 2 2 2 2 4" xfId="1456" xr:uid="{771A0DCA-ACAC-4B6C-8C69-9C6ACAE4D69A}"/>
    <cellStyle name="20% - Accent2 2 2 2 3" xfId="1871" xr:uid="{FDF4978D-98B0-4A1A-B233-8939A9C37AA5}"/>
    <cellStyle name="20% - Accent2 2 2 2 3 2" xfId="4100" xr:uid="{6851792A-EAEA-4EA3-AC03-69102FF8246B}"/>
    <cellStyle name="20% - Accent2 2 2 2 3 2 2" xfId="8318" xr:uid="{1EBE0D67-A988-4824-B2FE-474E981F6E39}"/>
    <cellStyle name="20% - Accent2 2 2 2 3 3" xfId="6173" xr:uid="{023E122D-893A-4B72-81BA-8F59346904E1}"/>
    <cellStyle name="20% - Accent2 2 2 2 4" xfId="2284" xr:uid="{ED491471-E03C-41CD-8D58-25E4EDD4D498}"/>
    <cellStyle name="20% - Accent2 2 2 2 4 2" xfId="4513" xr:uid="{69851FC8-F17F-4A5B-815A-ECBEDDC45445}"/>
    <cellStyle name="20% - Accent2 2 2 2 4 2 2" xfId="8731" xr:uid="{C95337AA-F0F1-4B35-9F61-C11A09F18983}"/>
    <cellStyle name="20% - Accent2 2 2 2 4 3" xfId="6586" xr:uid="{7E5557A1-9625-4AF3-9C56-6F48E94EE731}"/>
    <cellStyle name="20% - Accent2 2 2 2 5" xfId="2697" xr:uid="{19F5D43F-792D-4578-82FF-02C7BF6136DD}"/>
    <cellStyle name="20% - Accent2 2 2 2 5 2" xfId="4926" xr:uid="{3F636F93-4DA2-4DCE-962A-F70BB12C362B}"/>
    <cellStyle name="20% - Accent2 2 2 2 5 2 2" xfId="9144" xr:uid="{285D384B-0DD7-4CCA-872A-DF6C4913C28E}"/>
    <cellStyle name="20% - Accent2 2 2 2 5 3" xfId="6999" xr:uid="{0E10004B-6406-4454-869C-7C4132A36832}"/>
    <cellStyle name="20% - Accent2 2 2 2 6" xfId="3110" xr:uid="{5F903CAF-A837-456A-8949-DA85E8A07E68}"/>
    <cellStyle name="20% - Accent2 2 2 2 6 2" xfId="7412" xr:uid="{0A813B60-7515-421C-8CB2-AE95A90CBD5D}"/>
    <cellStyle name="20% - Accent2 2 2 2 7" xfId="5346" xr:uid="{5693ECFE-4815-4254-81DB-A07248FAD7C4}"/>
    <cellStyle name="20% - Accent2 2 2 2 8" xfId="1042" xr:uid="{E310B16C-293D-4139-96C0-0C7A0A762A82}"/>
    <cellStyle name="20% - Accent2 2 2 3" xfId="588" xr:uid="{00000000-0005-0000-0000-000015000000}"/>
    <cellStyle name="20% - Accent2 2 2 3 2" xfId="3686" xr:uid="{9BE1931D-2069-402C-BCA3-B6BBCC39E285}"/>
    <cellStyle name="20% - Accent2 2 2 3 2 2" xfId="7904" xr:uid="{A98DC16A-CD5F-4A86-8470-EE792F69975E}"/>
    <cellStyle name="20% - Accent2 2 2 3 3" xfId="5759" xr:uid="{930D5394-D26D-4D7A-A686-C726353EEFC8}"/>
    <cellStyle name="20% - Accent2 2 2 3 4" xfId="1455" xr:uid="{2BFD574C-0BCC-4F2A-801D-89A98313599A}"/>
    <cellStyle name="20% - Accent2 2 2 4" xfId="1870" xr:uid="{AF644E33-B851-47BC-B1D1-0AD84AADC678}"/>
    <cellStyle name="20% - Accent2 2 2 4 2" xfId="4099" xr:uid="{2376C2C7-58FA-4A01-A77F-D6C7935ADECD}"/>
    <cellStyle name="20% - Accent2 2 2 4 2 2" xfId="8317" xr:uid="{93C507C4-F994-4065-9B9B-1325C4D17279}"/>
    <cellStyle name="20% - Accent2 2 2 4 3" xfId="6172" xr:uid="{9887B054-A2F8-4142-AA2F-5B8EDFF73E2F}"/>
    <cellStyle name="20% - Accent2 2 2 5" xfId="2283" xr:uid="{3176C1C9-522E-4F77-A4A2-162BDDE40C6C}"/>
    <cellStyle name="20% - Accent2 2 2 5 2" xfId="4512" xr:uid="{874DEA02-B8EC-48F0-9911-2DFB5AD37FCB}"/>
    <cellStyle name="20% - Accent2 2 2 5 2 2" xfId="8730" xr:uid="{390A7D54-CC18-4D85-B9F9-9AAC5A185568}"/>
    <cellStyle name="20% - Accent2 2 2 5 3" xfId="6585" xr:uid="{8C4BABE5-05AE-40BC-8EC2-828F794E154F}"/>
    <cellStyle name="20% - Accent2 2 2 6" xfId="2696" xr:uid="{1B6B3EF1-267D-42AB-AA8E-F8C5BFC4771F}"/>
    <cellStyle name="20% - Accent2 2 2 6 2" xfId="4925" xr:uid="{95802CCA-B23E-4158-B69F-B3283ED700AA}"/>
    <cellStyle name="20% - Accent2 2 2 6 2 2" xfId="9143" xr:uid="{615F2312-420A-48A8-89CE-C9F3A1007A77}"/>
    <cellStyle name="20% - Accent2 2 2 6 3" xfId="6998" xr:uid="{4E02F0FA-5990-4C6C-86A1-969FC206727E}"/>
    <cellStyle name="20% - Accent2 2 2 7" xfId="3109" xr:uid="{D30B2FEC-1578-417C-BF91-A4CB071C15FB}"/>
    <cellStyle name="20% - Accent2 2 2 7 2" xfId="7411" xr:uid="{8F6DD06B-823F-4CD9-8CEC-1B59A5FC6434}"/>
    <cellStyle name="20% - Accent2 2 2 8" xfId="5345" xr:uid="{348B5ABA-BDCD-4026-8E24-AFFB7E3FC4BA}"/>
    <cellStyle name="20% - Accent2 2 2 9" xfId="1041" xr:uid="{17D5184B-EB00-4F40-91B5-921F96725C2B}"/>
    <cellStyle name="20% - Accent2 2 3" xfId="13" xr:uid="{00000000-0005-0000-0000-000016000000}"/>
    <cellStyle name="20% - Accent2 2 3 2" xfId="590" xr:uid="{00000000-0005-0000-0000-000017000000}"/>
    <cellStyle name="20% - Accent2 2 3 2 2" xfId="3688" xr:uid="{B3F3AF0E-3B2E-44F4-AA93-A6A554DAD9D6}"/>
    <cellStyle name="20% - Accent2 2 3 2 2 2" xfId="7906" xr:uid="{4B1FD2EA-F581-44FD-9019-A343D5D9F40E}"/>
    <cellStyle name="20% - Accent2 2 3 2 3" xfId="5761" xr:uid="{0BEDE08D-8834-4FD2-B842-B25CED3CEAA1}"/>
    <cellStyle name="20% - Accent2 2 3 2 4" xfId="1457" xr:uid="{FBEF2CF6-091B-4351-A518-7559258F796C}"/>
    <cellStyle name="20% - Accent2 2 3 3" xfId="1872" xr:uid="{759BFFB1-B945-4009-9758-9D7CBD618079}"/>
    <cellStyle name="20% - Accent2 2 3 3 2" xfId="4101" xr:uid="{1B0B21CF-566F-4F23-B58A-539EF31A5D6D}"/>
    <cellStyle name="20% - Accent2 2 3 3 2 2" xfId="8319" xr:uid="{49709B0F-91FE-4B87-98E5-169AA19FB0A1}"/>
    <cellStyle name="20% - Accent2 2 3 3 3" xfId="6174" xr:uid="{A801D79E-321A-4211-835B-386BF9133517}"/>
    <cellStyle name="20% - Accent2 2 3 4" xfId="2285" xr:uid="{55CE346B-EB56-4AC4-B457-5E0481454284}"/>
    <cellStyle name="20% - Accent2 2 3 4 2" xfId="4514" xr:uid="{DBD97F68-93B2-4E23-B318-E45D738AC42C}"/>
    <cellStyle name="20% - Accent2 2 3 4 2 2" xfId="8732" xr:uid="{547F0274-3CB5-4C3C-A91B-4EFA5AA8896B}"/>
    <cellStyle name="20% - Accent2 2 3 4 3" xfId="6587" xr:uid="{74CE498D-2015-4B54-992C-F302BDBACCDA}"/>
    <cellStyle name="20% - Accent2 2 3 5" xfId="2698" xr:uid="{8410C90D-3BA2-4425-BA87-8C8F5F9CC885}"/>
    <cellStyle name="20% - Accent2 2 3 5 2" xfId="4927" xr:uid="{964480B5-1C81-4AD1-B2DB-4C6BCBCC401A}"/>
    <cellStyle name="20% - Accent2 2 3 5 2 2" xfId="9145" xr:uid="{A876DA41-96A5-43B3-995C-2F98807B4502}"/>
    <cellStyle name="20% - Accent2 2 3 5 3" xfId="7000" xr:uid="{31A362B3-E429-4B14-BEE9-E24E025B967A}"/>
    <cellStyle name="20% - Accent2 2 3 6" xfId="3111" xr:uid="{182680D5-A7FD-4E62-879E-98A4CB5E91F8}"/>
    <cellStyle name="20% - Accent2 2 3 6 2" xfId="7413" xr:uid="{93283178-3382-440C-A024-1BC151277B48}"/>
    <cellStyle name="20% - Accent2 2 3 7" xfId="5347" xr:uid="{EA72D640-0B61-4600-8F49-1D089EDDE4F3}"/>
    <cellStyle name="20% - Accent2 2 3 8" xfId="1043" xr:uid="{29F8CC49-2A4B-4A24-ACBD-6D606E3866AB}"/>
    <cellStyle name="20% - Accent2 2 4" xfId="587" xr:uid="{00000000-0005-0000-0000-000018000000}"/>
    <cellStyle name="20% - Accent2 2 4 2" xfId="3685" xr:uid="{6461A86E-B3AD-4D0C-856C-94ACA50B30AD}"/>
    <cellStyle name="20% - Accent2 2 4 2 2" xfId="7903" xr:uid="{C56D8FDE-2762-47F5-98C1-32F1605660FD}"/>
    <cellStyle name="20% - Accent2 2 4 3" xfId="5758" xr:uid="{E4B8D5E0-5759-418F-BDE7-240C2227E89B}"/>
    <cellStyle name="20% - Accent2 2 4 4" xfId="1454" xr:uid="{5A07B6D6-210B-4A66-87E3-812B8BDCCECD}"/>
    <cellStyle name="20% - Accent2 2 5" xfId="1869" xr:uid="{85318B9E-5CBC-4109-85F6-9A0D0C5E14F6}"/>
    <cellStyle name="20% - Accent2 2 5 2" xfId="4098" xr:uid="{53E18AA6-1AB3-4CC0-A25B-F3A0C47B9DF1}"/>
    <cellStyle name="20% - Accent2 2 5 2 2" xfId="8316" xr:uid="{A3304ECA-F75B-4AA4-B665-671FE636CB2E}"/>
    <cellStyle name="20% - Accent2 2 5 3" xfId="6171" xr:uid="{8493061B-ECAF-4726-BDD8-3C625263CA3F}"/>
    <cellStyle name="20% - Accent2 2 6" xfId="2282" xr:uid="{21263BFC-DBD7-479A-9235-1D67AEA5F47E}"/>
    <cellStyle name="20% - Accent2 2 6 2" xfId="4511" xr:uid="{B0B99EA1-EAD1-428C-B8B9-8C105C8AFE4A}"/>
    <cellStyle name="20% - Accent2 2 6 2 2" xfId="8729" xr:uid="{A1893F73-5C82-445B-8846-AC8DE33D6437}"/>
    <cellStyle name="20% - Accent2 2 6 3" xfId="6584" xr:uid="{1FFAA552-651B-469F-8459-BC5CAB61D971}"/>
    <cellStyle name="20% - Accent2 2 7" xfId="2695" xr:uid="{07A65B4A-F0B4-4267-9C39-E273F5880A16}"/>
    <cellStyle name="20% - Accent2 2 7 2" xfId="4924" xr:uid="{06C2E2E8-C9DA-475C-BC61-4D53DEE5BFAE}"/>
    <cellStyle name="20% - Accent2 2 7 2 2" xfId="9142" xr:uid="{7CB20A70-AFB9-4670-AE7C-4110B6F59066}"/>
    <cellStyle name="20% - Accent2 2 7 3" xfId="6997" xr:uid="{1DF6AAD8-0765-4318-851C-C1A383888379}"/>
    <cellStyle name="20% - Accent2 2 8" xfId="3108" xr:uid="{B41F4E19-E6A4-4DFC-B9D3-BF7B058A84E2}"/>
    <cellStyle name="20% - Accent2 2 8 2" xfId="7410" xr:uid="{E2C09ACC-607B-437E-A2E5-0E0DB506508D}"/>
    <cellStyle name="20% - Accent2 2 9" xfId="5344" xr:uid="{73ED739A-06B0-45B1-A4AB-5CC5E563172D}"/>
    <cellStyle name="20% - Accent2 3" xfId="14" xr:uid="{00000000-0005-0000-0000-000019000000}"/>
    <cellStyle name="20% - Accent2 3 2" xfId="15" xr:uid="{00000000-0005-0000-0000-00001A000000}"/>
    <cellStyle name="20% - Accent2 3 2 2" xfId="592" xr:uid="{00000000-0005-0000-0000-00001B000000}"/>
    <cellStyle name="20% - Accent2 3 2 2 2" xfId="3690" xr:uid="{BAEC5127-0448-42D1-A66C-9CC377CACFA7}"/>
    <cellStyle name="20% - Accent2 3 2 2 2 2" xfId="7908" xr:uid="{5180BD76-FEC6-4E8C-9D42-7CA06A1DCCC9}"/>
    <cellStyle name="20% - Accent2 3 2 2 3" xfId="5763" xr:uid="{1831E92C-1176-48BF-A108-622319E80A30}"/>
    <cellStyle name="20% - Accent2 3 2 2 4" xfId="1459" xr:uid="{17F0DBE4-3EBA-40AF-A252-7B17AB518551}"/>
    <cellStyle name="20% - Accent2 3 2 3" xfId="1874" xr:uid="{5454C193-083B-4283-AB23-B2F92A078F58}"/>
    <cellStyle name="20% - Accent2 3 2 3 2" xfId="4103" xr:uid="{A8C67B95-81E3-42E6-A8FD-F616C99DBBC0}"/>
    <cellStyle name="20% - Accent2 3 2 3 2 2" xfId="8321" xr:uid="{55F3351B-8B7F-4060-966D-BE6DDA0EE969}"/>
    <cellStyle name="20% - Accent2 3 2 3 3" xfId="6176" xr:uid="{6CFA52D3-C68E-4AF2-A355-09A88A6559C7}"/>
    <cellStyle name="20% - Accent2 3 2 4" xfId="2287" xr:uid="{A703571F-8D0C-429B-9426-FEDA4EDCB335}"/>
    <cellStyle name="20% - Accent2 3 2 4 2" xfId="4516" xr:uid="{A9CD91C9-EA52-458B-8837-54490C9400D8}"/>
    <cellStyle name="20% - Accent2 3 2 4 2 2" xfId="8734" xr:uid="{E99BB8B8-F589-4132-8DAA-852FE396AB24}"/>
    <cellStyle name="20% - Accent2 3 2 4 3" xfId="6589" xr:uid="{0DC8FD89-022D-4AD5-BB6F-5D0AA6036CA7}"/>
    <cellStyle name="20% - Accent2 3 2 5" xfId="2700" xr:uid="{30DE8494-5518-41A9-9E64-8323E0A62C58}"/>
    <cellStyle name="20% - Accent2 3 2 5 2" xfId="4929" xr:uid="{B273B585-8FA1-4919-9719-A8F8D6E02CD7}"/>
    <cellStyle name="20% - Accent2 3 2 5 2 2" xfId="9147" xr:uid="{FBFCF613-284F-42E7-9943-6A3FAA8BF0D5}"/>
    <cellStyle name="20% - Accent2 3 2 5 3" xfId="7002" xr:uid="{9CD6C7A6-EE56-4664-A4E2-18439B34D8C4}"/>
    <cellStyle name="20% - Accent2 3 2 6" xfId="3113" xr:uid="{1AC4262A-3E90-4A41-B553-01A12FEAC6A7}"/>
    <cellStyle name="20% - Accent2 3 2 6 2" xfId="7415" xr:uid="{8F86A4B3-A241-42D8-866A-60E9C691B004}"/>
    <cellStyle name="20% - Accent2 3 2 7" xfId="5349" xr:uid="{6C4204EF-FBC9-432E-9BAC-15DE187E4451}"/>
    <cellStyle name="20% - Accent2 3 2 8" xfId="1045" xr:uid="{A6792BF9-4AA6-4E2D-BE34-4C7ECB392AA0}"/>
    <cellStyle name="20% - Accent2 3 3" xfId="591" xr:uid="{00000000-0005-0000-0000-00001C000000}"/>
    <cellStyle name="20% - Accent2 3 3 2" xfId="3689" xr:uid="{FFDE090C-08CF-40E6-B220-72834F99780C}"/>
    <cellStyle name="20% - Accent2 3 3 2 2" xfId="7907" xr:uid="{AF57A55F-8435-46CC-B245-54DCBCE40007}"/>
    <cellStyle name="20% - Accent2 3 3 3" xfId="5762" xr:uid="{456EA2D4-F0AA-4AD8-8AC7-31EAABBDACE8}"/>
    <cellStyle name="20% - Accent2 3 3 4" xfId="1458" xr:uid="{A0671B2E-E11F-4CC4-8AD3-FE1613385391}"/>
    <cellStyle name="20% - Accent2 3 4" xfId="1873" xr:uid="{3816B486-D6C9-427A-898D-9691D5511B58}"/>
    <cellStyle name="20% - Accent2 3 4 2" xfId="4102" xr:uid="{9E95EB00-2E4E-49B5-837F-1546DBCBB24C}"/>
    <cellStyle name="20% - Accent2 3 4 2 2" xfId="8320" xr:uid="{A1C5816D-9F25-4473-958B-0377262551EF}"/>
    <cellStyle name="20% - Accent2 3 4 3" xfId="6175" xr:uid="{FBCBC1F9-3E50-4991-932B-74C7876F1BD0}"/>
    <cellStyle name="20% - Accent2 3 5" xfId="2286" xr:uid="{26DA2E93-B910-4102-8D3C-755F073AE0F7}"/>
    <cellStyle name="20% - Accent2 3 5 2" xfId="4515" xr:uid="{4B9D6F22-A239-413F-AC7F-C2CB65906FA5}"/>
    <cellStyle name="20% - Accent2 3 5 2 2" xfId="8733" xr:uid="{693DD957-BB80-4719-9B32-32BBACCB593E}"/>
    <cellStyle name="20% - Accent2 3 5 3" xfId="6588" xr:uid="{F98CB312-832A-4C09-9477-8880ECDCD2C9}"/>
    <cellStyle name="20% - Accent2 3 6" xfId="2699" xr:uid="{83C8A947-2C41-498D-B135-22077B82891E}"/>
    <cellStyle name="20% - Accent2 3 6 2" xfId="4928" xr:uid="{17E1EDFA-8FE1-4DBE-ABF5-8CDF99670872}"/>
    <cellStyle name="20% - Accent2 3 6 2 2" xfId="9146" xr:uid="{FAC40646-3357-4BB5-A054-5CE4E6ADF630}"/>
    <cellStyle name="20% - Accent2 3 6 3" xfId="7001" xr:uid="{75E5AE64-4C94-4D99-9F33-ED3E3A9062D0}"/>
    <cellStyle name="20% - Accent2 3 7" xfId="3112" xr:uid="{423035D2-D21A-4834-AFA8-3C2911AAD92C}"/>
    <cellStyle name="20% - Accent2 3 7 2" xfId="7414" xr:uid="{BD2C591D-F6AD-448E-87E5-82D4F0726825}"/>
    <cellStyle name="20% - Accent2 3 8" xfId="5348" xr:uid="{65837857-B428-47A4-B775-E9A81B501A7D}"/>
    <cellStyle name="20% - Accent2 3 9" xfId="1044" xr:uid="{B9A0FBE7-5196-4D30-BF27-68A711DB01F7}"/>
    <cellStyle name="20% - Accent2 4" xfId="16" xr:uid="{00000000-0005-0000-0000-00001D000000}"/>
    <cellStyle name="20% - Accent2 4 2" xfId="593" xr:uid="{00000000-0005-0000-0000-00001E000000}"/>
    <cellStyle name="20% - Accent2 4 2 2" xfId="3691" xr:uid="{30616EEA-C579-4D94-B299-46D887CD953C}"/>
    <cellStyle name="20% - Accent2 4 2 2 2" xfId="7909" xr:uid="{0570FC3F-1D2A-46CC-B7C4-C08EB2F450FF}"/>
    <cellStyle name="20% - Accent2 4 2 3" xfId="5764" xr:uid="{49E9BE4F-02C4-4F3F-8BE0-2195344BB329}"/>
    <cellStyle name="20% - Accent2 4 2 4" xfId="1460" xr:uid="{817D3E0F-EEE2-44B9-A7A4-B50081E2FB2F}"/>
    <cellStyle name="20% - Accent2 4 3" xfId="1875" xr:uid="{E8C34FC5-AB42-4EF0-8422-F94D8D0F1436}"/>
    <cellStyle name="20% - Accent2 4 3 2" xfId="4104" xr:uid="{1FC87835-1811-403B-AC80-DB28BD04E12E}"/>
    <cellStyle name="20% - Accent2 4 3 2 2" xfId="8322" xr:uid="{0DDA6EE2-B287-4958-B20B-1E97EC701E3E}"/>
    <cellStyle name="20% - Accent2 4 3 3" xfId="6177" xr:uid="{51B1D4BD-1899-40A6-9EA0-B51921DD0A8B}"/>
    <cellStyle name="20% - Accent2 4 4" xfId="2288" xr:uid="{F17258F1-E2E8-4225-A8C4-4A9957B81FD7}"/>
    <cellStyle name="20% - Accent2 4 4 2" xfId="4517" xr:uid="{66255DA3-C277-4A99-8CD7-5BBC416D0938}"/>
    <cellStyle name="20% - Accent2 4 4 2 2" xfId="8735" xr:uid="{57991ADE-F386-40E9-8123-287374AD5287}"/>
    <cellStyle name="20% - Accent2 4 4 3" xfId="6590" xr:uid="{0213324F-29A3-4351-8C7B-C9BEB77F611A}"/>
    <cellStyle name="20% - Accent2 4 5" xfId="2701" xr:uid="{C909E5F9-DA0D-4E1A-85E3-971B0771BE09}"/>
    <cellStyle name="20% - Accent2 4 5 2" xfId="4930" xr:uid="{B732E548-367D-4A78-85C2-86B45464EC95}"/>
    <cellStyle name="20% - Accent2 4 5 2 2" xfId="9148" xr:uid="{F9C7CCDE-76B5-4BC3-B17C-AC991D45AB74}"/>
    <cellStyle name="20% - Accent2 4 5 3" xfId="7003" xr:uid="{1010D413-8963-4CAF-8F29-3E50E9455311}"/>
    <cellStyle name="20% - Accent2 4 6" xfId="3114" xr:uid="{370485C4-2AA1-41E3-9F99-ED17C92049CD}"/>
    <cellStyle name="20% - Accent2 4 6 2" xfId="7416" xr:uid="{830489B3-210E-4DCC-B938-46708F8292FD}"/>
    <cellStyle name="20% - Accent2 4 7" xfId="5350" xr:uid="{C7F4AD97-BD76-49A8-BB14-0A12254F4F06}"/>
    <cellStyle name="20% - Accent2 4 8" xfId="1046" xr:uid="{DC4AE41A-30CD-4493-9145-F71707214A74}"/>
    <cellStyle name="20% - Accent2 5" xfId="586" xr:uid="{00000000-0005-0000-0000-00001F000000}"/>
    <cellStyle name="20% - Accent2 5 2" xfId="3684" xr:uid="{84D95AFF-73E8-491F-9042-E874E1871A76}"/>
    <cellStyle name="20% - Accent2 5 2 2" xfId="7902" xr:uid="{AE26E408-009E-4A63-85CD-16C51705D03F}"/>
    <cellStyle name="20% - Accent2 5 3" xfId="5757" xr:uid="{9B105ACF-70BA-4980-9AD7-211C9D4E0DEC}"/>
    <cellStyle name="20% - Accent2 5 4" xfId="1453" xr:uid="{E522C64B-FA14-49BB-95D6-3DF290E1FD46}"/>
    <cellStyle name="20% - Accent2 6" xfId="1868" xr:uid="{2B161872-4648-4A81-B7D2-B45DBA0752EB}"/>
    <cellStyle name="20% - Accent2 6 2" xfId="4097" xr:uid="{740BEAE2-F89F-4D60-BD11-45F49B3BA4AB}"/>
    <cellStyle name="20% - Accent2 6 2 2" xfId="8315" xr:uid="{2DCB76CB-451B-4B1B-8670-D787D00CFA95}"/>
    <cellStyle name="20% - Accent2 6 3" xfId="6170" xr:uid="{58157FED-A1F2-4B59-B84B-C5E2ACDFD00B}"/>
    <cellStyle name="20% - Accent2 7" xfId="2281" xr:uid="{AE1F1DA5-53D1-49C5-B98C-1642B656FDE6}"/>
    <cellStyle name="20% - Accent2 7 2" xfId="4510" xr:uid="{6597A372-71F4-4A14-84E6-BA41470A9F7E}"/>
    <cellStyle name="20% - Accent2 7 2 2" xfId="8728" xr:uid="{ED461987-1E56-4309-A006-263AE66C5E60}"/>
    <cellStyle name="20% - Accent2 7 3" xfId="6583" xr:uid="{55B52BBC-E832-458D-BCFF-33A197A9257C}"/>
    <cellStyle name="20% - Accent2 8" xfId="2694" xr:uid="{29244387-3425-4137-B7E6-1F7EFD709F73}"/>
    <cellStyle name="20% - Accent2 8 2" xfId="4923" xr:uid="{6D9E8E00-2343-4A45-88C0-3D2A05733DBD}"/>
    <cellStyle name="20% - Accent2 8 2 2" xfId="9141" xr:uid="{03F3CF1F-CFDC-434D-BF40-870305886CB1}"/>
    <cellStyle name="20% - Accent2 8 3" xfId="6996" xr:uid="{5D2436F4-D495-4715-B282-ECE23E8E4684}"/>
    <cellStyle name="20% - Accent2 9" xfId="3107" xr:uid="{1344BD53-DA00-4ECA-8827-3CEBAC96FED6}"/>
    <cellStyle name="20% - Accent2 9 2" xfId="7409" xr:uid="{95BD7C67-6998-4156-A742-B051DDC04FC1}"/>
    <cellStyle name="20% - Accent3" xfId="17" builtinId="38" customBuiltin="1"/>
    <cellStyle name="20% - Accent3 10" xfId="5351" xr:uid="{5F5625EA-B18E-4DCF-97AA-DE8FFB74288C}"/>
    <cellStyle name="20% - Accent3 11" xfId="1047" xr:uid="{5D518226-A559-49D1-BB1A-3E4A9CCEAFEA}"/>
    <cellStyle name="20% - Accent3 2" xfId="18" xr:uid="{00000000-0005-0000-0000-000021000000}"/>
    <cellStyle name="20% - Accent3 2 10" xfId="1048" xr:uid="{768BBB6D-5253-403E-BB34-CFAC2D807B94}"/>
    <cellStyle name="20% - Accent3 2 2" xfId="19" xr:uid="{00000000-0005-0000-0000-000022000000}"/>
    <cellStyle name="20% - Accent3 2 2 2" xfId="20" xr:uid="{00000000-0005-0000-0000-000023000000}"/>
    <cellStyle name="20% - Accent3 2 2 2 2" xfId="597" xr:uid="{00000000-0005-0000-0000-000024000000}"/>
    <cellStyle name="20% - Accent3 2 2 2 2 2" xfId="3695" xr:uid="{AC01E9D3-A8B6-4977-B495-8916F0ADAFBE}"/>
    <cellStyle name="20% - Accent3 2 2 2 2 2 2" xfId="7913" xr:uid="{9DC29BDE-9AB8-42FA-B6E3-2FE2C414B73B}"/>
    <cellStyle name="20% - Accent3 2 2 2 2 3" xfId="5768" xr:uid="{D92CC292-0D8A-4136-B266-838AA9A75F5E}"/>
    <cellStyle name="20% - Accent3 2 2 2 2 4" xfId="1464" xr:uid="{05B6D135-3EE6-4F68-852C-78D02468C22D}"/>
    <cellStyle name="20% - Accent3 2 2 2 3" xfId="1879" xr:uid="{1F4F35B9-6AF3-4AA7-971D-ECDC78BCFCA5}"/>
    <cellStyle name="20% - Accent3 2 2 2 3 2" xfId="4108" xr:uid="{43692285-9E19-44C2-9249-2B238F923CF6}"/>
    <cellStyle name="20% - Accent3 2 2 2 3 2 2" xfId="8326" xr:uid="{C6F79FA9-FAFE-4C4B-A668-A5C1E7B53CA8}"/>
    <cellStyle name="20% - Accent3 2 2 2 3 3" xfId="6181" xr:uid="{16AA40BD-32A1-4A53-B261-3F2A603D44AF}"/>
    <cellStyle name="20% - Accent3 2 2 2 4" xfId="2292" xr:uid="{3ACC5000-94CA-43A5-A699-1263F083105A}"/>
    <cellStyle name="20% - Accent3 2 2 2 4 2" xfId="4521" xr:uid="{B3C1DF31-338F-4750-B6C5-0E1CF610EE66}"/>
    <cellStyle name="20% - Accent3 2 2 2 4 2 2" xfId="8739" xr:uid="{64D02000-30FA-4CF5-9621-1C39AD18407E}"/>
    <cellStyle name="20% - Accent3 2 2 2 4 3" xfId="6594" xr:uid="{E5882BFF-AA22-4FFA-A447-C5DE8509911D}"/>
    <cellStyle name="20% - Accent3 2 2 2 5" xfId="2705" xr:uid="{7094D221-58D0-4C5B-AE53-EBD727074BE0}"/>
    <cellStyle name="20% - Accent3 2 2 2 5 2" xfId="4934" xr:uid="{740C0ECE-8EFC-43C2-BD4B-2025DCBBDA2B}"/>
    <cellStyle name="20% - Accent3 2 2 2 5 2 2" xfId="9152" xr:uid="{C0C6A823-F77C-4BAA-9CD8-A17E91B484EE}"/>
    <cellStyle name="20% - Accent3 2 2 2 5 3" xfId="7007" xr:uid="{AE51FE71-7DE6-47ED-8309-43F2C913C94A}"/>
    <cellStyle name="20% - Accent3 2 2 2 6" xfId="3118" xr:uid="{AD5AC1D7-D28F-4139-8E67-BEEE847AF4E6}"/>
    <cellStyle name="20% - Accent3 2 2 2 6 2" xfId="7420" xr:uid="{6965DEE2-C556-41DB-B9BD-93A79A2506F4}"/>
    <cellStyle name="20% - Accent3 2 2 2 7" xfId="5354" xr:uid="{D43C4FAA-6F59-47CB-8EB6-090287E3F6D9}"/>
    <cellStyle name="20% - Accent3 2 2 2 8" xfId="1050" xr:uid="{ED4E0289-0246-4B4A-9882-69F9B1960D03}"/>
    <cellStyle name="20% - Accent3 2 2 3" xfId="596" xr:uid="{00000000-0005-0000-0000-000025000000}"/>
    <cellStyle name="20% - Accent3 2 2 3 2" xfId="3694" xr:uid="{A97658C9-4566-4382-9C06-D3BD27157977}"/>
    <cellStyle name="20% - Accent3 2 2 3 2 2" xfId="7912" xr:uid="{2DDCCD94-434D-4F1D-98A4-851D787EC28D}"/>
    <cellStyle name="20% - Accent3 2 2 3 3" xfId="5767" xr:uid="{96021ED4-47C5-4827-A9A2-8D0B9A73A3AC}"/>
    <cellStyle name="20% - Accent3 2 2 3 4" xfId="1463" xr:uid="{05C4500C-598A-4734-8958-10DD21DC4430}"/>
    <cellStyle name="20% - Accent3 2 2 4" xfId="1878" xr:uid="{428FBCD5-DB97-4AA9-BF74-DA91E61020B8}"/>
    <cellStyle name="20% - Accent3 2 2 4 2" xfId="4107" xr:uid="{467CDA8D-DFE4-4230-B085-2EF3BB61C1DC}"/>
    <cellStyle name="20% - Accent3 2 2 4 2 2" xfId="8325" xr:uid="{D8154FE5-9449-49AE-90AE-0BD291C146C4}"/>
    <cellStyle name="20% - Accent3 2 2 4 3" xfId="6180" xr:uid="{747E452B-71C9-403F-96A1-7DFD7BB4F581}"/>
    <cellStyle name="20% - Accent3 2 2 5" xfId="2291" xr:uid="{FDE7CA77-EAB1-41D9-8E51-6672EB831399}"/>
    <cellStyle name="20% - Accent3 2 2 5 2" xfId="4520" xr:uid="{630097E1-F000-412F-AD19-3D336CE20C35}"/>
    <cellStyle name="20% - Accent3 2 2 5 2 2" xfId="8738" xr:uid="{CAA5248C-3DB4-4F30-9397-9449FC807AC3}"/>
    <cellStyle name="20% - Accent3 2 2 5 3" xfId="6593" xr:uid="{01303C0B-F96C-42CA-A6F2-B996F96CC6B5}"/>
    <cellStyle name="20% - Accent3 2 2 6" xfId="2704" xr:uid="{DCED114D-5D5D-43B4-8AD7-D90DBB0DBA44}"/>
    <cellStyle name="20% - Accent3 2 2 6 2" xfId="4933" xr:uid="{762FB7FC-8F0C-4B66-AC24-4B9B5AA20616}"/>
    <cellStyle name="20% - Accent3 2 2 6 2 2" xfId="9151" xr:uid="{320C61BD-F48A-4E56-93CB-348B3BB27500}"/>
    <cellStyle name="20% - Accent3 2 2 6 3" xfId="7006" xr:uid="{6458DAFF-8EF8-4007-B533-73F551506CF3}"/>
    <cellStyle name="20% - Accent3 2 2 7" xfId="3117" xr:uid="{122084F9-7E8C-44D3-BD10-998DF65A2943}"/>
    <cellStyle name="20% - Accent3 2 2 7 2" xfId="7419" xr:uid="{029042D9-414A-452E-8557-F45CC37EF62C}"/>
    <cellStyle name="20% - Accent3 2 2 8" xfId="5353" xr:uid="{D7232D2F-FBB9-4B36-8621-E2F111E1191C}"/>
    <cellStyle name="20% - Accent3 2 2 9" xfId="1049" xr:uid="{4EBEF6DD-4C5A-4D9A-881C-5EFDA65E005D}"/>
    <cellStyle name="20% - Accent3 2 3" xfId="21" xr:uid="{00000000-0005-0000-0000-000026000000}"/>
    <cellStyle name="20% - Accent3 2 3 2" xfId="598" xr:uid="{00000000-0005-0000-0000-000027000000}"/>
    <cellStyle name="20% - Accent3 2 3 2 2" xfId="3696" xr:uid="{4754E00D-5092-4012-AC60-952C0AEDF13C}"/>
    <cellStyle name="20% - Accent3 2 3 2 2 2" xfId="7914" xr:uid="{470331BF-BCB6-4815-9BF8-2D8A07154ED5}"/>
    <cellStyle name="20% - Accent3 2 3 2 3" xfId="5769" xr:uid="{9C15DDB9-D418-404D-8CA0-D8A6A9E3DA71}"/>
    <cellStyle name="20% - Accent3 2 3 2 4" xfId="1465" xr:uid="{91FE861C-FE80-45C9-8E69-3EDB0A813A56}"/>
    <cellStyle name="20% - Accent3 2 3 3" xfId="1880" xr:uid="{02A21490-9894-4393-84B4-06FCB10B9899}"/>
    <cellStyle name="20% - Accent3 2 3 3 2" xfId="4109" xr:uid="{1C875C53-D039-4545-8695-562F42EE088A}"/>
    <cellStyle name="20% - Accent3 2 3 3 2 2" xfId="8327" xr:uid="{BB5F7D73-CB28-444A-918C-F7E145B62563}"/>
    <cellStyle name="20% - Accent3 2 3 3 3" xfId="6182" xr:uid="{DC67AA35-47B4-4A5B-811A-FC8BA5DC9AA7}"/>
    <cellStyle name="20% - Accent3 2 3 4" xfId="2293" xr:uid="{83FA6C16-881C-416B-82C2-0BB6938CFD33}"/>
    <cellStyle name="20% - Accent3 2 3 4 2" xfId="4522" xr:uid="{F3FA1250-A66B-4CBD-B0FA-55D80AB8D24D}"/>
    <cellStyle name="20% - Accent3 2 3 4 2 2" xfId="8740" xr:uid="{BA2582AE-78C6-40FD-B13F-6E9EB1E54F83}"/>
    <cellStyle name="20% - Accent3 2 3 4 3" xfId="6595" xr:uid="{3E81C549-BE7D-4EB1-9DCB-DABA12D491EC}"/>
    <cellStyle name="20% - Accent3 2 3 5" xfId="2706" xr:uid="{6C3E6536-FADB-4672-A90F-A546BBD3F3DE}"/>
    <cellStyle name="20% - Accent3 2 3 5 2" xfId="4935" xr:uid="{2ED39C19-F00D-4E26-87E1-5C47A159A95D}"/>
    <cellStyle name="20% - Accent3 2 3 5 2 2" xfId="9153" xr:uid="{70FB7F63-3AF9-464C-B48F-A68C654D519B}"/>
    <cellStyle name="20% - Accent3 2 3 5 3" xfId="7008" xr:uid="{7AC58ECB-9F00-46CE-80E2-A6165B887915}"/>
    <cellStyle name="20% - Accent3 2 3 6" xfId="3119" xr:uid="{22BE91BB-8403-4D7B-AF30-B2808746FEBB}"/>
    <cellStyle name="20% - Accent3 2 3 6 2" xfId="7421" xr:uid="{98FBDBB8-ED86-4A3D-94A0-F97F6ADE094F}"/>
    <cellStyle name="20% - Accent3 2 3 7" xfId="5355" xr:uid="{2ECCFBB1-7EF0-42FB-B545-525B204612D0}"/>
    <cellStyle name="20% - Accent3 2 3 8" xfId="1051" xr:uid="{126AA1E9-E5CA-4CA2-ABE4-0AC25EAF8989}"/>
    <cellStyle name="20% - Accent3 2 4" xfId="595" xr:uid="{00000000-0005-0000-0000-000028000000}"/>
    <cellStyle name="20% - Accent3 2 4 2" xfId="3693" xr:uid="{DD3C2606-51CE-4B84-BC4A-D151FE20879F}"/>
    <cellStyle name="20% - Accent3 2 4 2 2" xfId="7911" xr:uid="{523A0CD8-8A47-4B75-9CCA-7E12F97E22ED}"/>
    <cellStyle name="20% - Accent3 2 4 3" xfId="5766" xr:uid="{BE017321-DC6A-46FA-BFD1-E08F471D212B}"/>
    <cellStyle name="20% - Accent3 2 4 4" xfId="1462" xr:uid="{BA34DA34-6678-4C3B-AAE2-B5EB13F20B84}"/>
    <cellStyle name="20% - Accent3 2 5" xfId="1877" xr:uid="{7DBC5F12-FC77-47DE-8516-88A337C219FC}"/>
    <cellStyle name="20% - Accent3 2 5 2" xfId="4106" xr:uid="{20832B1B-EE8E-4792-A88B-9E047A126876}"/>
    <cellStyle name="20% - Accent3 2 5 2 2" xfId="8324" xr:uid="{1F8F6BF2-0636-4A9C-B507-A8AB9290CBFD}"/>
    <cellStyle name="20% - Accent3 2 5 3" xfId="6179" xr:uid="{B0D23ADC-1210-40BD-8224-BCD4D04C9A6E}"/>
    <cellStyle name="20% - Accent3 2 6" xfId="2290" xr:uid="{2076C875-73F2-42B5-A8F1-0AACA63F3F5F}"/>
    <cellStyle name="20% - Accent3 2 6 2" xfId="4519" xr:uid="{DD608C89-BA2E-41E7-879D-61E44069C740}"/>
    <cellStyle name="20% - Accent3 2 6 2 2" xfId="8737" xr:uid="{A0608376-FF83-4D40-9C0C-146818C312D0}"/>
    <cellStyle name="20% - Accent3 2 6 3" xfId="6592" xr:uid="{304137A6-6996-471F-85F0-2692A05C945E}"/>
    <cellStyle name="20% - Accent3 2 7" xfId="2703" xr:uid="{CC0DD0C7-BF0A-49EC-9E45-F86937DE977F}"/>
    <cellStyle name="20% - Accent3 2 7 2" xfId="4932" xr:uid="{F1CD7BF1-9FCD-418B-8F17-24CD465E2750}"/>
    <cellStyle name="20% - Accent3 2 7 2 2" xfId="9150" xr:uid="{1EDF7FB2-8731-4840-94AC-31982731FFC3}"/>
    <cellStyle name="20% - Accent3 2 7 3" xfId="7005" xr:uid="{F9EB953F-15C4-4A2D-8713-5D9F79503469}"/>
    <cellStyle name="20% - Accent3 2 8" xfId="3116" xr:uid="{D8CDF407-5579-4027-B15C-1BAC4157DBEC}"/>
    <cellStyle name="20% - Accent3 2 8 2" xfId="7418" xr:uid="{5ADEDED4-6120-4F2A-A3E1-128CF8562E23}"/>
    <cellStyle name="20% - Accent3 2 9" xfId="5352" xr:uid="{6F6A7D02-236E-4940-A4E1-58D64ABAE3B0}"/>
    <cellStyle name="20% - Accent3 3" xfId="22" xr:uid="{00000000-0005-0000-0000-000029000000}"/>
    <cellStyle name="20% - Accent3 3 2" xfId="23" xr:uid="{00000000-0005-0000-0000-00002A000000}"/>
    <cellStyle name="20% - Accent3 3 2 2" xfId="600" xr:uid="{00000000-0005-0000-0000-00002B000000}"/>
    <cellStyle name="20% - Accent3 3 2 2 2" xfId="3698" xr:uid="{BF9B37BE-5C81-45FD-B5D0-28068CB5166F}"/>
    <cellStyle name="20% - Accent3 3 2 2 2 2" xfId="7916" xr:uid="{98CCAAD0-3557-4994-ABF9-44BE9F64F539}"/>
    <cellStyle name="20% - Accent3 3 2 2 3" xfId="5771" xr:uid="{A876A84F-5AE6-4A21-BA11-935863E03BF7}"/>
    <cellStyle name="20% - Accent3 3 2 2 4" xfId="1467" xr:uid="{D85D719D-A83E-476F-94FC-F26CD7676E8A}"/>
    <cellStyle name="20% - Accent3 3 2 3" xfId="1882" xr:uid="{4F0FD7E3-CA47-4F58-A551-8400A49D2791}"/>
    <cellStyle name="20% - Accent3 3 2 3 2" xfId="4111" xr:uid="{D8F026E5-EAAE-4EF1-8D32-5893FFFFA2E9}"/>
    <cellStyle name="20% - Accent3 3 2 3 2 2" xfId="8329" xr:uid="{B33F614C-188A-4798-B7AC-87B46E3D1BC9}"/>
    <cellStyle name="20% - Accent3 3 2 3 3" xfId="6184" xr:uid="{AFF47A41-88F4-423C-884A-9AE600F7E06F}"/>
    <cellStyle name="20% - Accent3 3 2 4" xfId="2295" xr:uid="{B38098E0-FE10-486B-8CC8-A0B3378570D2}"/>
    <cellStyle name="20% - Accent3 3 2 4 2" xfId="4524" xr:uid="{3582B5D5-8A15-45D1-820A-B5C16F6A1C29}"/>
    <cellStyle name="20% - Accent3 3 2 4 2 2" xfId="8742" xr:uid="{F75A674B-A428-488B-A939-30339391034A}"/>
    <cellStyle name="20% - Accent3 3 2 4 3" xfId="6597" xr:uid="{B030FBD4-F544-466B-A23B-AD9FEFD99D0B}"/>
    <cellStyle name="20% - Accent3 3 2 5" xfId="2708" xr:uid="{08E1BD49-3217-44C8-9A5A-18C4166B248F}"/>
    <cellStyle name="20% - Accent3 3 2 5 2" xfId="4937" xr:uid="{AB370D08-828B-4C0D-B87F-92AC0D49694F}"/>
    <cellStyle name="20% - Accent3 3 2 5 2 2" xfId="9155" xr:uid="{4CD86AE8-E025-4D4F-8D60-F875F65436FB}"/>
    <cellStyle name="20% - Accent3 3 2 5 3" xfId="7010" xr:uid="{48C8A5A6-0386-4BB4-B714-136D2306E013}"/>
    <cellStyle name="20% - Accent3 3 2 6" xfId="3121" xr:uid="{9F916D13-1834-4F52-9B7F-54FA0CE76060}"/>
    <cellStyle name="20% - Accent3 3 2 6 2" xfId="7423" xr:uid="{232B4BB1-C5EC-46C6-93FD-D84D0650076F}"/>
    <cellStyle name="20% - Accent3 3 2 7" xfId="5357" xr:uid="{4D075CFB-1262-4065-AD71-FE977C9F0DA8}"/>
    <cellStyle name="20% - Accent3 3 2 8" xfId="1053" xr:uid="{8D61D958-0CBD-4D35-BDEA-312D7481FFA0}"/>
    <cellStyle name="20% - Accent3 3 3" xfId="599" xr:uid="{00000000-0005-0000-0000-00002C000000}"/>
    <cellStyle name="20% - Accent3 3 3 2" xfId="3697" xr:uid="{5856F8E1-F84B-4614-8336-CB75A420B409}"/>
    <cellStyle name="20% - Accent3 3 3 2 2" xfId="7915" xr:uid="{8790A7A1-530B-4D22-8D5C-3D00F9948986}"/>
    <cellStyle name="20% - Accent3 3 3 3" xfId="5770" xr:uid="{6DD70FAD-5DE2-4614-87EF-914844DB3A09}"/>
    <cellStyle name="20% - Accent3 3 3 4" xfId="1466" xr:uid="{8BD8DBC0-A4BE-4852-8061-EC913679CE99}"/>
    <cellStyle name="20% - Accent3 3 4" xfId="1881" xr:uid="{D8BCC9EE-E1B8-41CD-8648-B531CF6A7AD4}"/>
    <cellStyle name="20% - Accent3 3 4 2" xfId="4110" xr:uid="{39C12365-C5C4-4249-93CC-3D6530C8FC68}"/>
    <cellStyle name="20% - Accent3 3 4 2 2" xfId="8328" xr:uid="{6B9B551C-9CE5-4302-9D1D-6056C8031BBF}"/>
    <cellStyle name="20% - Accent3 3 4 3" xfId="6183" xr:uid="{E3F1B039-9D42-4366-B68E-2AEC77697152}"/>
    <cellStyle name="20% - Accent3 3 5" xfId="2294" xr:uid="{228A8D40-FE94-47FB-925B-43CCAD92600B}"/>
    <cellStyle name="20% - Accent3 3 5 2" xfId="4523" xr:uid="{6DBA4520-6899-4911-94EC-CA4D87F4CEC0}"/>
    <cellStyle name="20% - Accent3 3 5 2 2" xfId="8741" xr:uid="{D6536BEE-62F5-4F28-8B04-F9F74097B712}"/>
    <cellStyle name="20% - Accent3 3 5 3" xfId="6596" xr:uid="{DB699253-A66B-4C44-B6B4-175A78147867}"/>
    <cellStyle name="20% - Accent3 3 6" xfId="2707" xr:uid="{47CF1F31-C040-4BF1-B02E-C0FE73E915AF}"/>
    <cellStyle name="20% - Accent3 3 6 2" xfId="4936" xr:uid="{6D45DB54-6FD5-41C5-90B5-D9CF4947AAC6}"/>
    <cellStyle name="20% - Accent3 3 6 2 2" xfId="9154" xr:uid="{AE521820-E435-4ED4-8E7D-FFCFC3A06BC0}"/>
    <cellStyle name="20% - Accent3 3 6 3" xfId="7009" xr:uid="{A0BEA72A-5A75-4579-91D4-A358697779A0}"/>
    <cellStyle name="20% - Accent3 3 7" xfId="3120" xr:uid="{A5546B67-BF35-40E1-8713-3F4235B2ECFF}"/>
    <cellStyle name="20% - Accent3 3 7 2" xfId="7422" xr:uid="{E87C3127-6117-4D30-9AB3-A236C0F2747D}"/>
    <cellStyle name="20% - Accent3 3 8" xfId="5356" xr:uid="{9E34E9D5-F247-4D39-95AF-164C2612A714}"/>
    <cellStyle name="20% - Accent3 3 9" xfId="1052" xr:uid="{82A63EDC-8531-414D-A60B-0B7C190B698D}"/>
    <cellStyle name="20% - Accent3 4" xfId="24" xr:uid="{00000000-0005-0000-0000-00002D000000}"/>
    <cellStyle name="20% - Accent3 4 2" xfId="601" xr:uid="{00000000-0005-0000-0000-00002E000000}"/>
    <cellStyle name="20% - Accent3 4 2 2" xfId="3699" xr:uid="{86FDF93C-2135-4092-B39E-6E093F598E4C}"/>
    <cellStyle name="20% - Accent3 4 2 2 2" xfId="7917" xr:uid="{15ED0C95-D8F4-48EA-9CFA-5CEE8AC22E20}"/>
    <cellStyle name="20% - Accent3 4 2 3" xfId="5772" xr:uid="{3BE5AA5A-E916-4C59-B19B-58ED014C50CB}"/>
    <cellStyle name="20% - Accent3 4 2 4" xfId="1468" xr:uid="{D69C9B36-E42F-4922-8987-D6AC62B6B7AD}"/>
    <cellStyle name="20% - Accent3 4 3" xfId="1883" xr:uid="{EF94ABE0-62C3-4C03-AF0F-A363F6973752}"/>
    <cellStyle name="20% - Accent3 4 3 2" xfId="4112" xr:uid="{C2E1C695-5D1A-4884-B7B9-DC9AE6476F4F}"/>
    <cellStyle name="20% - Accent3 4 3 2 2" xfId="8330" xr:uid="{40B4E1B6-2C03-4349-8942-11CF34AB49A1}"/>
    <cellStyle name="20% - Accent3 4 3 3" xfId="6185" xr:uid="{48CF54A7-50E2-458B-8E41-11816F7AB2C7}"/>
    <cellStyle name="20% - Accent3 4 4" xfId="2296" xr:uid="{5CE73C34-C220-45CC-832C-033E1A8C381A}"/>
    <cellStyle name="20% - Accent3 4 4 2" xfId="4525" xr:uid="{AB9083B2-2C45-4359-A1F9-13825262F725}"/>
    <cellStyle name="20% - Accent3 4 4 2 2" xfId="8743" xr:uid="{F5131E1F-ACAD-4E68-9A8B-AC38A2CFAE72}"/>
    <cellStyle name="20% - Accent3 4 4 3" xfId="6598" xr:uid="{CB4D4EE8-8066-4F91-BCF2-24271F8C5250}"/>
    <cellStyle name="20% - Accent3 4 5" xfId="2709" xr:uid="{FDAC6ABE-C185-4FC9-ABE3-60F84DAB0A6D}"/>
    <cellStyle name="20% - Accent3 4 5 2" xfId="4938" xr:uid="{3224488B-F5B3-4235-9C8D-AD437C40EAC6}"/>
    <cellStyle name="20% - Accent3 4 5 2 2" xfId="9156" xr:uid="{5557BA36-C09F-41C3-8E8E-D9F4361ED000}"/>
    <cellStyle name="20% - Accent3 4 5 3" xfId="7011" xr:uid="{38714FBA-3642-4731-9B8E-96C9569878BB}"/>
    <cellStyle name="20% - Accent3 4 6" xfId="3122" xr:uid="{52B2C6C7-4000-41CD-BB9B-38C1B8586FA4}"/>
    <cellStyle name="20% - Accent3 4 6 2" xfId="7424" xr:uid="{1FDF0BF9-70C8-42BC-85F3-E21DC5FBFAB3}"/>
    <cellStyle name="20% - Accent3 4 7" xfId="5358" xr:uid="{225B9D57-FBCE-4A6F-A4A6-63216F7EAE04}"/>
    <cellStyle name="20% - Accent3 4 8" xfId="1054" xr:uid="{A00891F5-241C-4A30-847A-B55269D2916F}"/>
    <cellStyle name="20% - Accent3 5" xfId="594" xr:uid="{00000000-0005-0000-0000-00002F000000}"/>
    <cellStyle name="20% - Accent3 5 2" xfId="3692" xr:uid="{E14A31EF-DCA3-43EA-BF0B-20A21A772054}"/>
    <cellStyle name="20% - Accent3 5 2 2" xfId="7910" xr:uid="{E18F6646-F579-49C5-8EE0-759096E09065}"/>
    <cellStyle name="20% - Accent3 5 3" xfId="5765" xr:uid="{7A210533-11D6-4A31-933D-057026C899AF}"/>
    <cellStyle name="20% - Accent3 5 4" xfId="1461" xr:uid="{72510947-1D1E-4B25-9ADB-038B0E191C93}"/>
    <cellStyle name="20% - Accent3 6" xfId="1876" xr:uid="{5616B0C4-047D-49A7-8300-ECBBE44600EE}"/>
    <cellStyle name="20% - Accent3 6 2" xfId="4105" xr:uid="{A5E7BDCA-75AD-47C5-A0A8-D79C595B3746}"/>
    <cellStyle name="20% - Accent3 6 2 2" xfId="8323" xr:uid="{E3E70874-2453-4706-B32A-C6910C2E0661}"/>
    <cellStyle name="20% - Accent3 6 3" xfId="6178" xr:uid="{AAC9F0B5-FF92-4DF6-847E-1D6F8E011ADE}"/>
    <cellStyle name="20% - Accent3 7" xfId="2289" xr:uid="{67F2F3B2-07F7-4989-83D9-0F89F384E953}"/>
    <cellStyle name="20% - Accent3 7 2" xfId="4518" xr:uid="{C2AF9269-0D14-4850-886B-5178A65AEABC}"/>
    <cellStyle name="20% - Accent3 7 2 2" xfId="8736" xr:uid="{06392567-198A-4021-AD04-BAB0ACF44DC5}"/>
    <cellStyle name="20% - Accent3 7 3" xfId="6591" xr:uid="{0E320D4D-F8F6-4B80-A6C4-44C7CDB422B7}"/>
    <cellStyle name="20% - Accent3 8" xfId="2702" xr:uid="{2ED2AC84-1B9D-4031-81D0-79AAA3300D7B}"/>
    <cellStyle name="20% - Accent3 8 2" xfId="4931" xr:uid="{0E072D26-1A7B-4C16-8C89-DB42F429DE05}"/>
    <cellStyle name="20% - Accent3 8 2 2" xfId="9149" xr:uid="{BB6C2776-3E72-495B-A8BF-3336B2D6B777}"/>
    <cellStyle name="20% - Accent3 8 3" xfId="7004" xr:uid="{6C6AC567-5362-4ED2-AF03-351D65172C3B}"/>
    <cellStyle name="20% - Accent3 9" xfId="3115" xr:uid="{9013E92A-E52E-420C-8A16-B8B56BDE3848}"/>
    <cellStyle name="20% - Accent3 9 2" xfId="7417" xr:uid="{B344E593-F8C9-49C6-A488-03A75195E216}"/>
    <cellStyle name="20% - Accent4" xfId="25" builtinId="42" customBuiltin="1"/>
    <cellStyle name="20% - Accent4 10" xfId="5359" xr:uid="{1388D509-5F2F-4AC3-9B5B-3D4500D087ED}"/>
    <cellStyle name="20% - Accent4 11" xfId="1055" xr:uid="{B283FAF1-0A13-49BA-A816-E3DC420EC859}"/>
    <cellStyle name="20% - Accent4 2" xfId="26" xr:uid="{00000000-0005-0000-0000-000031000000}"/>
    <cellStyle name="20% - Accent4 2 10" xfId="1056" xr:uid="{CD54834F-76A0-4F8D-B277-9D072EADCC08}"/>
    <cellStyle name="20% - Accent4 2 2" xfId="27" xr:uid="{00000000-0005-0000-0000-000032000000}"/>
    <cellStyle name="20% - Accent4 2 2 2" xfId="28" xr:uid="{00000000-0005-0000-0000-000033000000}"/>
    <cellStyle name="20% - Accent4 2 2 2 2" xfId="605" xr:uid="{00000000-0005-0000-0000-000034000000}"/>
    <cellStyle name="20% - Accent4 2 2 2 2 2" xfId="3703" xr:uid="{749BD525-AA64-47E3-92DE-82B5B47829E8}"/>
    <cellStyle name="20% - Accent4 2 2 2 2 2 2" xfId="7921" xr:uid="{774B3260-94A2-4146-9250-9EF41D792F3B}"/>
    <cellStyle name="20% - Accent4 2 2 2 2 3" xfId="5776" xr:uid="{EBAD0320-F971-41CE-9669-A0C40A54D118}"/>
    <cellStyle name="20% - Accent4 2 2 2 2 4" xfId="1472" xr:uid="{00C4F24C-0B08-412E-9157-3410D759F130}"/>
    <cellStyle name="20% - Accent4 2 2 2 3" xfId="1887" xr:uid="{03E4CABF-B2CF-4990-BEE4-745F15A658EF}"/>
    <cellStyle name="20% - Accent4 2 2 2 3 2" xfId="4116" xr:uid="{BC990190-9FB9-47DB-9BF8-B714B7873D61}"/>
    <cellStyle name="20% - Accent4 2 2 2 3 2 2" xfId="8334" xr:uid="{20E3E9D9-C47D-4908-9C30-E38C2E226EB1}"/>
    <cellStyle name="20% - Accent4 2 2 2 3 3" xfId="6189" xr:uid="{F2978D9F-E38B-48D4-95C9-4586AE899EF7}"/>
    <cellStyle name="20% - Accent4 2 2 2 4" xfId="2300" xr:uid="{8454BACC-9922-4335-9E54-B9E13E523BE2}"/>
    <cellStyle name="20% - Accent4 2 2 2 4 2" xfId="4529" xr:uid="{24569346-6410-4C4F-AC27-141937BC2E82}"/>
    <cellStyle name="20% - Accent4 2 2 2 4 2 2" xfId="8747" xr:uid="{2BCA37A4-A4FB-44D2-B3A6-831FE769F640}"/>
    <cellStyle name="20% - Accent4 2 2 2 4 3" xfId="6602" xr:uid="{579FFDF6-C3CC-4F97-A19B-39D197F06725}"/>
    <cellStyle name="20% - Accent4 2 2 2 5" xfId="2713" xr:uid="{BEE13C6A-A109-4CAA-A406-B8DDA45B05E4}"/>
    <cellStyle name="20% - Accent4 2 2 2 5 2" xfId="4942" xr:uid="{3F054CBF-A46F-4B81-A016-7BDCAB6E64AA}"/>
    <cellStyle name="20% - Accent4 2 2 2 5 2 2" xfId="9160" xr:uid="{B70BEE42-C34E-4911-9586-69218F7D1157}"/>
    <cellStyle name="20% - Accent4 2 2 2 5 3" xfId="7015" xr:uid="{142CAC88-BC00-4753-93E0-03662BB41A36}"/>
    <cellStyle name="20% - Accent4 2 2 2 6" xfId="3126" xr:uid="{86C1CBDE-0811-4B58-8819-73010B831817}"/>
    <cellStyle name="20% - Accent4 2 2 2 6 2" xfId="7428" xr:uid="{66766767-1841-4E16-8BB3-73FC262EF72C}"/>
    <cellStyle name="20% - Accent4 2 2 2 7" xfId="5362" xr:uid="{18628D0E-24B2-4D44-8F81-1CBA7BEA9B6C}"/>
    <cellStyle name="20% - Accent4 2 2 2 8" xfId="1058" xr:uid="{60B6DFA2-5541-453B-89F2-3B56B6667617}"/>
    <cellStyle name="20% - Accent4 2 2 3" xfId="604" xr:uid="{00000000-0005-0000-0000-000035000000}"/>
    <cellStyle name="20% - Accent4 2 2 3 2" xfId="3702" xr:uid="{F17C4539-B74C-4FC2-ABE1-D2B3D794AE71}"/>
    <cellStyle name="20% - Accent4 2 2 3 2 2" xfId="7920" xr:uid="{3E015D38-D974-4064-9F95-4C92DB3979EE}"/>
    <cellStyle name="20% - Accent4 2 2 3 3" xfId="5775" xr:uid="{84BDEC9D-CF81-434E-B37B-B01994956BBE}"/>
    <cellStyle name="20% - Accent4 2 2 3 4" xfId="1471" xr:uid="{5AD39DD6-16E0-4A8A-A9DC-4BA537F75C44}"/>
    <cellStyle name="20% - Accent4 2 2 4" xfId="1886" xr:uid="{38FEFF28-FB5B-4FEA-95F2-9C9956853393}"/>
    <cellStyle name="20% - Accent4 2 2 4 2" xfId="4115" xr:uid="{B625AA14-6CCC-4EBB-8E44-79FB05DAA3B2}"/>
    <cellStyle name="20% - Accent4 2 2 4 2 2" xfId="8333" xr:uid="{E8F8231D-3B9D-47B8-BD5B-41008CB0322A}"/>
    <cellStyle name="20% - Accent4 2 2 4 3" xfId="6188" xr:uid="{70C4A912-C8B9-46FE-B483-9D76CD6814B2}"/>
    <cellStyle name="20% - Accent4 2 2 5" xfId="2299" xr:uid="{771E53F4-3218-402C-9550-FDF049411D10}"/>
    <cellStyle name="20% - Accent4 2 2 5 2" xfId="4528" xr:uid="{4474C214-4607-4391-83D2-51DEC89DD427}"/>
    <cellStyle name="20% - Accent4 2 2 5 2 2" xfId="8746" xr:uid="{901C84A7-F208-430F-ACF3-88433C3F081C}"/>
    <cellStyle name="20% - Accent4 2 2 5 3" xfId="6601" xr:uid="{6E9879A5-1B40-451E-A04B-629B983C47AC}"/>
    <cellStyle name="20% - Accent4 2 2 6" xfId="2712" xr:uid="{EB1631D2-73AD-42EA-BC15-2DAD85DA560F}"/>
    <cellStyle name="20% - Accent4 2 2 6 2" xfId="4941" xr:uid="{D17704B9-6F9A-4140-BC78-C82568216ED3}"/>
    <cellStyle name="20% - Accent4 2 2 6 2 2" xfId="9159" xr:uid="{81A8F291-01DB-4D88-8A3E-210011A38D07}"/>
    <cellStyle name="20% - Accent4 2 2 6 3" xfId="7014" xr:uid="{D9EB7350-45A5-4EAD-8FD4-16ED38CD3564}"/>
    <cellStyle name="20% - Accent4 2 2 7" xfId="3125" xr:uid="{721F6B62-7354-4CF6-92E4-1BE85726AEE9}"/>
    <cellStyle name="20% - Accent4 2 2 7 2" xfId="7427" xr:uid="{CB7F994F-AAA3-44A3-854D-AA6BFD4E7A2E}"/>
    <cellStyle name="20% - Accent4 2 2 8" xfId="5361" xr:uid="{B867D2E0-4368-4C14-8170-F6802C4771CB}"/>
    <cellStyle name="20% - Accent4 2 2 9" xfId="1057" xr:uid="{3AA3B2E8-9579-4A62-B258-58B106C573E3}"/>
    <cellStyle name="20% - Accent4 2 3" xfId="29" xr:uid="{00000000-0005-0000-0000-000036000000}"/>
    <cellStyle name="20% - Accent4 2 3 2" xfId="606" xr:uid="{00000000-0005-0000-0000-000037000000}"/>
    <cellStyle name="20% - Accent4 2 3 2 2" xfId="3704" xr:uid="{12DF8F2D-2343-4F59-901A-BE49AA61D8BB}"/>
    <cellStyle name="20% - Accent4 2 3 2 2 2" xfId="7922" xr:uid="{1AEDB0B2-658A-468D-9A4E-913A8482D0BB}"/>
    <cellStyle name="20% - Accent4 2 3 2 3" xfId="5777" xr:uid="{DF08A3AC-65DB-4922-9CCB-36C43158B9E4}"/>
    <cellStyle name="20% - Accent4 2 3 2 4" xfId="1473" xr:uid="{CDF2E18B-ABCB-4C88-BFD9-ABF2D47BCA73}"/>
    <cellStyle name="20% - Accent4 2 3 3" xfId="1888" xr:uid="{35EA1FD7-746B-4D80-9969-34C8CD12F216}"/>
    <cellStyle name="20% - Accent4 2 3 3 2" xfId="4117" xr:uid="{522D1F83-CF5C-4E80-87DF-C9936C8D1196}"/>
    <cellStyle name="20% - Accent4 2 3 3 2 2" xfId="8335" xr:uid="{D34284BC-4CA2-4C12-AFA1-A0C96FFFC55C}"/>
    <cellStyle name="20% - Accent4 2 3 3 3" xfId="6190" xr:uid="{B0116D44-2DDC-455B-9BA7-0D9A19468418}"/>
    <cellStyle name="20% - Accent4 2 3 4" xfId="2301" xr:uid="{5B5C2BBD-792D-42D1-A9DC-4F0979BBB70F}"/>
    <cellStyle name="20% - Accent4 2 3 4 2" xfId="4530" xr:uid="{B7CE6E94-2F09-4ACD-A11D-DDF435B65368}"/>
    <cellStyle name="20% - Accent4 2 3 4 2 2" xfId="8748" xr:uid="{ED016717-BD42-42BD-B3FE-72B572DC22FF}"/>
    <cellStyle name="20% - Accent4 2 3 4 3" xfId="6603" xr:uid="{4EEAB376-EBC3-4E66-89CF-36624282100E}"/>
    <cellStyle name="20% - Accent4 2 3 5" xfId="2714" xr:uid="{99BD5359-DB06-46FF-AA71-B5C2DC0E2BBC}"/>
    <cellStyle name="20% - Accent4 2 3 5 2" xfId="4943" xr:uid="{F40024C5-592F-4D79-AB2F-040103B00A6B}"/>
    <cellStyle name="20% - Accent4 2 3 5 2 2" xfId="9161" xr:uid="{227C96E9-70C6-47F3-9174-1C731A95B744}"/>
    <cellStyle name="20% - Accent4 2 3 5 3" xfId="7016" xr:uid="{06CD7835-127C-4E7B-AB41-0212645405DB}"/>
    <cellStyle name="20% - Accent4 2 3 6" xfId="3127" xr:uid="{C188CF6E-5336-4F9D-A9FA-71306FC03DA5}"/>
    <cellStyle name="20% - Accent4 2 3 6 2" xfId="7429" xr:uid="{DD3A4979-B1F7-4C5D-A385-DB5774CEAFAE}"/>
    <cellStyle name="20% - Accent4 2 3 7" xfId="5363" xr:uid="{983CF9D6-5991-4481-A292-2BCA9D330F97}"/>
    <cellStyle name="20% - Accent4 2 3 8" xfId="1059" xr:uid="{BB56777E-80A7-47A4-9705-874938E845F9}"/>
    <cellStyle name="20% - Accent4 2 4" xfId="603" xr:uid="{00000000-0005-0000-0000-000038000000}"/>
    <cellStyle name="20% - Accent4 2 4 2" xfId="3701" xr:uid="{EF5BD620-90DC-45AD-B53C-C6B2CC8A35A7}"/>
    <cellStyle name="20% - Accent4 2 4 2 2" xfId="7919" xr:uid="{1ADE5772-C4DD-49DF-97E1-D05017729254}"/>
    <cellStyle name="20% - Accent4 2 4 3" xfId="5774" xr:uid="{C9ECAF45-ED9E-4A8F-B736-68D7DDA34530}"/>
    <cellStyle name="20% - Accent4 2 4 4" xfId="1470" xr:uid="{E734ADD8-5ABD-44E6-81A6-A672696F046D}"/>
    <cellStyle name="20% - Accent4 2 5" xfId="1885" xr:uid="{A6FC495B-655E-4C3B-B89D-A15303BFFF35}"/>
    <cellStyle name="20% - Accent4 2 5 2" xfId="4114" xr:uid="{7530D2A4-66E0-45EB-8225-9A6D87F09934}"/>
    <cellStyle name="20% - Accent4 2 5 2 2" xfId="8332" xr:uid="{92477CAB-69C1-48EE-8BC5-6AFBD422AC18}"/>
    <cellStyle name="20% - Accent4 2 5 3" xfId="6187" xr:uid="{225A1224-8B27-46D9-AF2B-53A797FA2F3C}"/>
    <cellStyle name="20% - Accent4 2 6" xfId="2298" xr:uid="{2826825D-C37F-4308-92A8-ADBFC42D7C54}"/>
    <cellStyle name="20% - Accent4 2 6 2" xfId="4527" xr:uid="{CB67AE26-AB7B-4462-8306-96B3D483FECD}"/>
    <cellStyle name="20% - Accent4 2 6 2 2" xfId="8745" xr:uid="{21359C5B-6E19-4858-A988-A325F203CC22}"/>
    <cellStyle name="20% - Accent4 2 6 3" xfId="6600" xr:uid="{36C4B64D-BCD1-45C5-B754-A2C025416C92}"/>
    <cellStyle name="20% - Accent4 2 7" xfId="2711" xr:uid="{E7474FA8-CD1D-4D0F-8146-AFE55E5124BB}"/>
    <cellStyle name="20% - Accent4 2 7 2" xfId="4940" xr:uid="{06017DEC-4760-43B9-B526-11FBE7E9E1E0}"/>
    <cellStyle name="20% - Accent4 2 7 2 2" xfId="9158" xr:uid="{940137D0-B171-4BA6-82B4-0C53C86A8780}"/>
    <cellStyle name="20% - Accent4 2 7 3" xfId="7013" xr:uid="{09A1A0B3-EFEC-4967-BFE7-44530AA867D3}"/>
    <cellStyle name="20% - Accent4 2 8" xfId="3124" xr:uid="{EEEC3344-E152-46D7-9557-3BD03E92B6C2}"/>
    <cellStyle name="20% - Accent4 2 8 2" xfId="7426" xr:uid="{3AB7D6F5-94A8-4FD7-B0D8-873C3081CCD2}"/>
    <cellStyle name="20% - Accent4 2 9" xfId="5360" xr:uid="{E338A850-611F-4C33-8697-8FFD9E3D93B9}"/>
    <cellStyle name="20% - Accent4 3" xfId="30" xr:uid="{00000000-0005-0000-0000-000039000000}"/>
    <cellStyle name="20% - Accent4 3 2" xfId="31" xr:uid="{00000000-0005-0000-0000-00003A000000}"/>
    <cellStyle name="20% - Accent4 3 2 2" xfId="608" xr:uid="{00000000-0005-0000-0000-00003B000000}"/>
    <cellStyle name="20% - Accent4 3 2 2 2" xfId="3706" xr:uid="{D257160C-0A29-4DAE-A49B-1B17E1FD874E}"/>
    <cellStyle name="20% - Accent4 3 2 2 2 2" xfId="7924" xr:uid="{782B8B0F-0C7A-4B06-B582-6ECDCE613CCB}"/>
    <cellStyle name="20% - Accent4 3 2 2 3" xfId="5779" xr:uid="{12AAFC05-51F5-473C-A5E0-DF406E88DC56}"/>
    <cellStyle name="20% - Accent4 3 2 2 4" xfId="1475" xr:uid="{3B16242E-BAB1-4527-BA9F-33448A95AD00}"/>
    <cellStyle name="20% - Accent4 3 2 3" xfId="1890" xr:uid="{252561F3-4BAD-4D1D-9473-0D3A632A5627}"/>
    <cellStyle name="20% - Accent4 3 2 3 2" xfId="4119" xr:uid="{2D26D144-07C0-4EEA-BBFD-9B9C181362A2}"/>
    <cellStyle name="20% - Accent4 3 2 3 2 2" xfId="8337" xr:uid="{1D86898A-AA71-4EB5-83ED-CD3E81644BBC}"/>
    <cellStyle name="20% - Accent4 3 2 3 3" xfId="6192" xr:uid="{BA0B5748-7024-42F3-B1E6-594E8489F923}"/>
    <cellStyle name="20% - Accent4 3 2 4" xfId="2303" xr:uid="{702B8E9D-2A4D-4BDC-94CA-354986414C3E}"/>
    <cellStyle name="20% - Accent4 3 2 4 2" xfId="4532" xr:uid="{8422C545-BDB0-4546-AD9B-5B6D9A9DA572}"/>
    <cellStyle name="20% - Accent4 3 2 4 2 2" xfId="8750" xr:uid="{98635595-9459-410A-8074-659520C0243B}"/>
    <cellStyle name="20% - Accent4 3 2 4 3" xfId="6605" xr:uid="{2DA6F7EA-EBC6-48A5-B4CE-616975679913}"/>
    <cellStyle name="20% - Accent4 3 2 5" xfId="2716" xr:uid="{47C6C94A-4084-4CDC-A233-3E33B38CB8A3}"/>
    <cellStyle name="20% - Accent4 3 2 5 2" xfId="4945" xr:uid="{ACD3FF0D-B4E1-47F5-8F7C-A7A378419A62}"/>
    <cellStyle name="20% - Accent4 3 2 5 2 2" xfId="9163" xr:uid="{56EE4682-B920-415F-98F3-EE33E58F4DDE}"/>
    <cellStyle name="20% - Accent4 3 2 5 3" xfId="7018" xr:uid="{A2054689-B1B7-43C6-A703-3514D6B500A8}"/>
    <cellStyle name="20% - Accent4 3 2 6" xfId="3129" xr:uid="{F1ABA14E-6B8F-4BBF-BD6C-E4CBAFBFA8FE}"/>
    <cellStyle name="20% - Accent4 3 2 6 2" xfId="7431" xr:uid="{69020B57-6CCB-4BA5-9F77-2FB3A945F595}"/>
    <cellStyle name="20% - Accent4 3 2 7" xfId="5365" xr:uid="{B3A699B1-B6F9-454C-9D00-1608319276DA}"/>
    <cellStyle name="20% - Accent4 3 2 8" xfId="1061" xr:uid="{D4EA8ED7-9405-45BA-859E-F92223A73C0B}"/>
    <cellStyle name="20% - Accent4 3 3" xfId="607" xr:uid="{00000000-0005-0000-0000-00003C000000}"/>
    <cellStyle name="20% - Accent4 3 3 2" xfId="3705" xr:uid="{225C6D91-8005-43AD-A743-78FB62CB137D}"/>
    <cellStyle name="20% - Accent4 3 3 2 2" xfId="7923" xr:uid="{AA034C49-9AE8-43DA-BA59-51F3908DBE57}"/>
    <cellStyle name="20% - Accent4 3 3 3" xfId="5778" xr:uid="{98C35DDC-9EB6-455A-9139-A230511877BE}"/>
    <cellStyle name="20% - Accent4 3 3 4" xfId="1474" xr:uid="{50A8F6F1-6372-48E7-8EA9-358506ABA19C}"/>
    <cellStyle name="20% - Accent4 3 4" xfId="1889" xr:uid="{E56B8FC6-F2F3-4794-BC55-F33815EF03DC}"/>
    <cellStyle name="20% - Accent4 3 4 2" xfId="4118" xr:uid="{52BD6CE9-1E4E-4F40-871B-B0EA2BBA1F96}"/>
    <cellStyle name="20% - Accent4 3 4 2 2" xfId="8336" xr:uid="{6FE8DEC8-8E3C-4D60-AF16-8E850EFE9A7F}"/>
    <cellStyle name="20% - Accent4 3 4 3" xfId="6191" xr:uid="{FE0C07E8-B3D9-4C97-AD8E-82BE72173998}"/>
    <cellStyle name="20% - Accent4 3 5" xfId="2302" xr:uid="{53426457-9086-412C-8825-51957EBB885E}"/>
    <cellStyle name="20% - Accent4 3 5 2" xfId="4531" xr:uid="{8E9BAA2A-47EB-48D1-967D-E66C74D0B9EA}"/>
    <cellStyle name="20% - Accent4 3 5 2 2" xfId="8749" xr:uid="{F51CF60B-B20E-4D60-993D-22A89F1EB593}"/>
    <cellStyle name="20% - Accent4 3 5 3" xfId="6604" xr:uid="{2A82C45B-5B25-45E0-AB85-F8E56D10E4F1}"/>
    <cellStyle name="20% - Accent4 3 6" xfId="2715" xr:uid="{1B348948-C9A6-4C70-9591-7B2DFF0D7285}"/>
    <cellStyle name="20% - Accent4 3 6 2" xfId="4944" xr:uid="{0CABB0DD-9F45-4196-9A92-46121AE920F1}"/>
    <cellStyle name="20% - Accent4 3 6 2 2" xfId="9162" xr:uid="{564BF90F-EDA8-48A5-8546-7172106EE5AC}"/>
    <cellStyle name="20% - Accent4 3 6 3" xfId="7017" xr:uid="{38157B9A-8BD2-43AB-A8BF-EFA9178F85A2}"/>
    <cellStyle name="20% - Accent4 3 7" xfId="3128" xr:uid="{A295A742-3D43-4C09-B1D2-639B6A941722}"/>
    <cellStyle name="20% - Accent4 3 7 2" xfId="7430" xr:uid="{D400989B-8611-4571-A98D-71033F0797C2}"/>
    <cellStyle name="20% - Accent4 3 8" xfId="5364" xr:uid="{39983DF7-FA25-4771-9748-136F162D776C}"/>
    <cellStyle name="20% - Accent4 3 9" xfId="1060" xr:uid="{7B555CDD-785C-4E97-BD57-2755C85546E4}"/>
    <cellStyle name="20% - Accent4 4" xfId="32" xr:uid="{00000000-0005-0000-0000-00003D000000}"/>
    <cellStyle name="20% - Accent4 4 2" xfId="609" xr:uid="{00000000-0005-0000-0000-00003E000000}"/>
    <cellStyle name="20% - Accent4 4 2 2" xfId="3707" xr:uid="{0DDF93E6-55B2-42BB-99B9-416C8D9CFCB2}"/>
    <cellStyle name="20% - Accent4 4 2 2 2" xfId="7925" xr:uid="{46C2A191-4C9A-4A38-9898-1FF0CF5C543F}"/>
    <cellStyle name="20% - Accent4 4 2 3" xfId="5780" xr:uid="{93795D7C-8508-48DC-9FAD-01D4217C220B}"/>
    <cellStyle name="20% - Accent4 4 2 4" xfId="1476" xr:uid="{77953E97-5F64-4F0A-9B59-9DAB76D7495A}"/>
    <cellStyle name="20% - Accent4 4 3" xfId="1891" xr:uid="{6E2C04F9-E637-41C1-BF20-5FC84BFF0081}"/>
    <cellStyle name="20% - Accent4 4 3 2" xfId="4120" xr:uid="{1D9842D5-DE2C-4B77-936A-735DCF9986C2}"/>
    <cellStyle name="20% - Accent4 4 3 2 2" xfId="8338" xr:uid="{A610880D-0462-4F76-A35A-4561DB6D1C3C}"/>
    <cellStyle name="20% - Accent4 4 3 3" xfId="6193" xr:uid="{B29C0233-F5F7-47B2-9F61-89BB76640D44}"/>
    <cellStyle name="20% - Accent4 4 4" xfId="2304" xr:uid="{7BF341DE-0E34-41F2-AE21-80EA75183160}"/>
    <cellStyle name="20% - Accent4 4 4 2" xfId="4533" xr:uid="{7921DE05-C9F5-4427-AC80-40BD2162C7D1}"/>
    <cellStyle name="20% - Accent4 4 4 2 2" xfId="8751" xr:uid="{251A2546-93B7-4BB5-9BB7-AB5DC0B34257}"/>
    <cellStyle name="20% - Accent4 4 4 3" xfId="6606" xr:uid="{299CC2AF-4BC9-4FE4-AAFA-18DA219088B6}"/>
    <cellStyle name="20% - Accent4 4 5" xfId="2717" xr:uid="{E7949F74-BBAC-462C-9F26-D033532B7310}"/>
    <cellStyle name="20% - Accent4 4 5 2" xfId="4946" xr:uid="{E2A29A13-AC3D-468C-8201-ECC3BAD5BEE1}"/>
    <cellStyle name="20% - Accent4 4 5 2 2" xfId="9164" xr:uid="{5354AF97-5F8B-4839-811B-A92EC7F32405}"/>
    <cellStyle name="20% - Accent4 4 5 3" xfId="7019" xr:uid="{A15D01CC-D3B5-458C-9CFA-E7391DE25F8C}"/>
    <cellStyle name="20% - Accent4 4 6" xfId="3130" xr:uid="{1BE1F00F-092C-4FC6-9A3F-D3104FDA9120}"/>
    <cellStyle name="20% - Accent4 4 6 2" xfId="7432" xr:uid="{1ECA453C-8F49-49D9-A437-A791F5BFECB3}"/>
    <cellStyle name="20% - Accent4 4 7" xfId="5366" xr:uid="{2737AB48-714C-4470-AFD8-C2CC61B5DC32}"/>
    <cellStyle name="20% - Accent4 4 8" xfId="1062" xr:uid="{CC3F7480-EB76-43BC-B021-DB8ED3537ECF}"/>
    <cellStyle name="20% - Accent4 5" xfId="602" xr:uid="{00000000-0005-0000-0000-00003F000000}"/>
    <cellStyle name="20% - Accent4 5 2" xfId="3700" xr:uid="{11B972E8-AE3D-4ED2-9B46-B0864F1A950E}"/>
    <cellStyle name="20% - Accent4 5 2 2" xfId="7918" xr:uid="{5515B308-7BA1-4852-8749-7C199F951A11}"/>
    <cellStyle name="20% - Accent4 5 3" xfId="5773" xr:uid="{57C55A0A-D1A3-4397-BBA0-275814C6D45F}"/>
    <cellStyle name="20% - Accent4 5 4" xfId="1469" xr:uid="{E7D086BF-1A17-42EC-845F-6691E11E1E78}"/>
    <cellStyle name="20% - Accent4 6" xfId="1884" xr:uid="{7A11DCBF-9CD1-409B-810E-56929D95E999}"/>
    <cellStyle name="20% - Accent4 6 2" xfId="4113" xr:uid="{A19AB25D-085A-494B-817E-E96634E20625}"/>
    <cellStyle name="20% - Accent4 6 2 2" xfId="8331" xr:uid="{2536ED94-37CD-417B-8AFA-E53A33F4F005}"/>
    <cellStyle name="20% - Accent4 6 3" xfId="6186" xr:uid="{4F3292E1-9E01-4AA6-A42A-6C767DC06987}"/>
    <cellStyle name="20% - Accent4 7" xfId="2297" xr:uid="{30A88F42-2C62-4660-8D53-268CD9EC4C71}"/>
    <cellStyle name="20% - Accent4 7 2" xfId="4526" xr:uid="{B03F44CB-CD5A-45D0-B21F-17C38B972137}"/>
    <cellStyle name="20% - Accent4 7 2 2" xfId="8744" xr:uid="{116206D4-5EDE-4649-971E-6BC8546DDFEF}"/>
    <cellStyle name="20% - Accent4 7 3" xfId="6599" xr:uid="{F392C8E0-3FB2-449B-A398-7BC5D3A7DA1D}"/>
    <cellStyle name="20% - Accent4 8" xfId="2710" xr:uid="{E705A796-F56F-4894-A41E-CF14AFA6AC5A}"/>
    <cellStyle name="20% - Accent4 8 2" xfId="4939" xr:uid="{3F97A096-4B5B-448F-A35E-1BEE884E6C06}"/>
    <cellStyle name="20% - Accent4 8 2 2" xfId="9157" xr:uid="{3C9213AA-1842-451E-9B1C-EAB2BBE0EF6F}"/>
    <cellStyle name="20% - Accent4 8 3" xfId="7012" xr:uid="{2F5617AF-2A49-4C8D-9C58-BCD249ED51B1}"/>
    <cellStyle name="20% - Accent4 9" xfId="3123" xr:uid="{DCCAFF96-B3A9-4C00-9E77-FA74BB2D4127}"/>
    <cellStyle name="20% - Accent4 9 2" xfId="7425" xr:uid="{B1639487-1437-4913-87D2-79E66C4E05E0}"/>
    <cellStyle name="20% - Accent5" xfId="33" builtinId="46" customBuiltin="1"/>
    <cellStyle name="20% - Accent5 10" xfId="5367" xr:uid="{1E98CA42-AFFC-486C-9629-2713B42D90E5}"/>
    <cellStyle name="20% - Accent5 11" xfId="1063" xr:uid="{9E0415BB-D757-4502-B443-1F639D5B5324}"/>
    <cellStyle name="20% - Accent5 2" xfId="34" xr:uid="{00000000-0005-0000-0000-000041000000}"/>
    <cellStyle name="20% - Accent5 2 10" xfId="1064" xr:uid="{B7494C90-387C-433D-825C-4ECE851F9B7C}"/>
    <cellStyle name="20% - Accent5 2 2" xfId="35" xr:uid="{00000000-0005-0000-0000-000042000000}"/>
    <cellStyle name="20% - Accent5 2 2 2" xfId="36" xr:uid="{00000000-0005-0000-0000-000043000000}"/>
    <cellStyle name="20% - Accent5 2 2 2 2" xfId="613" xr:uid="{00000000-0005-0000-0000-000044000000}"/>
    <cellStyle name="20% - Accent5 2 2 2 2 2" xfId="3711" xr:uid="{D5D31B04-84D5-41E7-BE67-33D2C1C4CA9B}"/>
    <cellStyle name="20% - Accent5 2 2 2 2 2 2" xfId="7929" xr:uid="{22C282EC-6B38-4317-A5A9-AA6A5BDFF121}"/>
    <cellStyle name="20% - Accent5 2 2 2 2 3" xfId="5784" xr:uid="{C36BD917-5FE7-4466-AE49-9486AAEE13FB}"/>
    <cellStyle name="20% - Accent5 2 2 2 2 4" xfId="1480" xr:uid="{9870D2A7-4B0C-4F73-963B-C83946203264}"/>
    <cellStyle name="20% - Accent5 2 2 2 3" xfId="1895" xr:uid="{6BDE372C-9747-4027-AE94-EB9A9FDF5126}"/>
    <cellStyle name="20% - Accent5 2 2 2 3 2" xfId="4124" xr:uid="{8A11AB2B-C239-436F-996D-45B08EC03C72}"/>
    <cellStyle name="20% - Accent5 2 2 2 3 2 2" xfId="8342" xr:uid="{9D8C5866-5148-4554-A074-41BA95252FD5}"/>
    <cellStyle name="20% - Accent5 2 2 2 3 3" xfId="6197" xr:uid="{A2A62D9E-81E8-4613-8EFB-BA61BFBD78F6}"/>
    <cellStyle name="20% - Accent5 2 2 2 4" xfId="2308" xr:uid="{441BBD3B-53D7-4FF7-8610-C61A19D651E1}"/>
    <cellStyle name="20% - Accent5 2 2 2 4 2" xfId="4537" xr:uid="{4CE3BF49-DF73-4FED-AA8D-4E5EEABF366D}"/>
    <cellStyle name="20% - Accent5 2 2 2 4 2 2" xfId="8755" xr:uid="{09A5117E-1C2C-466C-B9F2-98C5FBBF194E}"/>
    <cellStyle name="20% - Accent5 2 2 2 4 3" xfId="6610" xr:uid="{E18D70C6-FD76-4575-8AB5-90134354F6DA}"/>
    <cellStyle name="20% - Accent5 2 2 2 5" xfId="2721" xr:uid="{D26373A8-4B39-4EA9-B9EC-D99743F5985B}"/>
    <cellStyle name="20% - Accent5 2 2 2 5 2" xfId="4950" xr:uid="{180B1FE2-9C30-41EB-9FBA-3E36918E1E67}"/>
    <cellStyle name="20% - Accent5 2 2 2 5 2 2" xfId="9168" xr:uid="{02665B64-E450-403D-980B-7681E65C7163}"/>
    <cellStyle name="20% - Accent5 2 2 2 5 3" xfId="7023" xr:uid="{F359270E-AEA2-4D7C-96DB-BC46C0BDFC0F}"/>
    <cellStyle name="20% - Accent5 2 2 2 6" xfId="3134" xr:uid="{F98D4DA2-BC74-49B5-B1EC-A94FEF606CC8}"/>
    <cellStyle name="20% - Accent5 2 2 2 6 2" xfId="7436" xr:uid="{A4EDA1E4-0699-4B48-BA15-C1E226E103D0}"/>
    <cellStyle name="20% - Accent5 2 2 2 7" xfId="5370" xr:uid="{8650EA3E-52F9-4C0F-AE17-82052C2F23ED}"/>
    <cellStyle name="20% - Accent5 2 2 2 8" xfId="1066" xr:uid="{DD8402C7-C660-40ED-85E9-8E718DE63D20}"/>
    <cellStyle name="20% - Accent5 2 2 3" xfId="612" xr:uid="{00000000-0005-0000-0000-000045000000}"/>
    <cellStyle name="20% - Accent5 2 2 3 2" xfId="3710" xr:uid="{F1D7E7A9-4CA3-4D33-B32B-A598219343F8}"/>
    <cellStyle name="20% - Accent5 2 2 3 2 2" xfId="7928" xr:uid="{C3845A6B-AEC7-47AC-9F23-5763E4646F8A}"/>
    <cellStyle name="20% - Accent5 2 2 3 3" xfId="5783" xr:uid="{40F892DC-4635-40AC-9A62-B8FC3D158954}"/>
    <cellStyle name="20% - Accent5 2 2 3 4" xfId="1479" xr:uid="{78F0245D-7ADA-443F-8B01-E375B261A215}"/>
    <cellStyle name="20% - Accent5 2 2 4" xfId="1894" xr:uid="{FF2BA121-121E-4497-A244-E64AE715631D}"/>
    <cellStyle name="20% - Accent5 2 2 4 2" xfId="4123" xr:uid="{215409DA-6C00-42F8-BC3C-C31FAC758EDD}"/>
    <cellStyle name="20% - Accent5 2 2 4 2 2" xfId="8341" xr:uid="{513A3B80-D443-4CEF-A45B-47806A2F6393}"/>
    <cellStyle name="20% - Accent5 2 2 4 3" xfId="6196" xr:uid="{AA1B7344-56DF-4F28-87D6-42FEDD499E29}"/>
    <cellStyle name="20% - Accent5 2 2 5" xfId="2307" xr:uid="{BB6A48F9-CF94-4D81-A261-AF8AF3A24371}"/>
    <cellStyle name="20% - Accent5 2 2 5 2" xfId="4536" xr:uid="{0935AE3C-AA2C-4E78-9114-9120048A6306}"/>
    <cellStyle name="20% - Accent5 2 2 5 2 2" xfId="8754" xr:uid="{08D45465-9FE7-462B-BEA5-D7095E2051EA}"/>
    <cellStyle name="20% - Accent5 2 2 5 3" xfId="6609" xr:uid="{BDB484F0-6172-4FAD-BA3F-44AE41363251}"/>
    <cellStyle name="20% - Accent5 2 2 6" xfId="2720" xr:uid="{1C9C0FD7-A983-4C76-B27B-80A0C592A3B0}"/>
    <cellStyle name="20% - Accent5 2 2 6 2" xfId="4949" xr:uid="{70E7D0A1-AB45-42E6-940D-2F9BCFB74FB0}"/>
    <cellStyle name="20% - Accent5 2 2 6 2 2" xfId="9167" xr:uid="{612707D6-0ACE-411B-B145-A107040FD307}"/>
    <cellStyle name="20% - Accent5 2 2 6 3" xfId="7022" xr:uid="{B633F516-F8F4-499E-BE61-07E5323A83FE}"/>
    <cellStyle name="20% - Accent5 2 2 7" xfId="3133" xr:uid="{4B0194C3-7832-4790-A7A5-FA283F0F855B}"/>
    <cellStyle name="20% - Accent5 2 2 7 2" xfId="7435" xr:uid="{5A324F08-2F0B-453C-9859-373D1CD98157}"/>
    <cellStyle name="20% - Accent5 2 2 8" xfId="5369" xr:uid="{1E29FC04-4877-4E77-A688-21ABF8A8B85B}"/>
    <cellStyle name="20% - Accent5 2 2 9" xfId="1065" xr:uid="{6AE64EEF-22F0-46FF-A7B5-35BF664B0BA6}"/>
    <cellStyle name="20% - Accent5 2 3" xfId="37" xr:uid="{00000000-0005-0000-0000-000046000000}"/>
    <cellStyle name="20% - Accent5 2 3 2" xfId="614" xr:uid="{00000000-0005-0000-0000-000047000000}"/>
    <cellStyle name="20% - Accent5 2 3 2 2" xfId="3712" xr:uid="{19394694-3F7B-4B4F-B72F-55EB9CBE46CB}"/>
    <cellStyle name="20% - Accent5 2 3 2 2 2" xfId="7930" xr:uid="{D8250E8E-902C-4963-BC64-1DCE852E187A}"/>
    <cellStyle name="20% - Accent5 2 3 2 3" xfId="5785" xr:uid="{EF68117B-9F6B-4DBA-A761-75C28B640F2E}"/>
    <cellStyle name="20% - Accent5 2 3 2 4" xfId="1481" xr:uid="{86DEDAD3-577D-4CBC-958E-2CBA47E635A1}"/>
    <cellStyle name="20% - Accent5 2 3 3" xfId="1896" xr:uid="{27F687DA-A2B6-4908-87C6-8E1F195E4257}"/>
    <cellStyle name="20% - Accent5 2 3 3 2" xfId="4125" xr:uid="{7A3B8E2C-98E5-4B66-B2ED-C96BD98740B7}"/>
    <cellStyle name="20% - Accent5 2 3 3 2 2" xfId="8343" xr:uid="{B858C56E-444B-4D6F-943D-2C9E6FCE9F7D}"/>
    <cellStyle name="20% - Accent5 2 3 3 3" xfId="6198" xr:uid="{DAA69E74-B895-4CF0-93D5-C9D144DFE65C}"/>
    <cellStyle name="20% - Accent5 2 3 4" xfId="2309" xr:uid="{DB6DB40A-D5E5-4C1D-A5D4-48024FE41904}"/>
    <cellStyle name="20% - Accent5 2 3 4 2" xfId="4538" xr:uid="{EC4F3B4E-67F0-46C5-9517-31644E2A5870}"/>
    <cellStyle name="20% - Accent5 2 3 4 2 2" xfId="8756" xr:uid="{E32CC9EB-3A12-4D00-B6B5-2A2848361D8F}"/>
    <cellStyle name="20% - Accent5 2 3 4 3" xfId="6611" xr:uid="{AC5BEC96-9782-40AF-A489-E00EF55C74ED}"/>
    <cellStyle name="20% - Accent5 2 3 5" xfId="2722" xr:uid="{97B428FC-AB64-4AA4-856A-3C0A4A4B8E6B}"/>
    <cellStyle name="20% - Accent5 2 3 5 2" xfId="4951" xr:uid="{F5D3EEE2-125D-42E9-B9D4-C55172A2B46C}"/>
    <cellStyle name="20% - Accent5 2 3 5 2 2" xfId="9169" xr:uid="{B848D7B2-60F1-48A0-8B39-0788AA01EC7B}"/>
    <cellStyle name="20% - Accent5 2 3 5 3" xfId="7024" xr:uid="{F0B32FBD-C13E-4AB8-8D94-0E4CB6D5741B}"/>
    <cellStyle name="20% - Accent5 2 3 6" xfId="3135" xr:uid="{42282905-EBCC-408B-BB5E-94014C194D1C}"/>
    <cellStyle name="20% - Accent5 2 3 6 2" xfId="7437" xr:uid="{1B0A597A-EC08-4A9E-B697-A19B1F8E78E6}"/>
    <cellStyle name="20% - Accent5 2 3 7" xfId="5371" xr:uid="{5CCF16A6-4D5C-4120-8D2F-A8D58BC6306A}"/>
    <cellStyle name="20% - Accent5 2 3 8" xfId="1067" xr:uid="{F3A9CFBE-042A-46F4-AEDF-F3F8FE75DEF6}"/>
    <cellStyle name="20% - Accent5 2 4" xfId="611" xr:uid="{00000000-0005-0000-0000-000048000000}"/>
    <cellStyle name="20% - Accent5 2 4 2" xfId="3709" xr:uid="{37778390-6E60-4F7D-A8B2-5D4E9A63B81D}"/>
    <cellStyle name="20% - Accent5 2 4 2 2" xfId="7927" xr:uid="{E3FEB7CA-6AA6-477D-B32B-D4606F2CADD6}"/>
    <cellStyle name="20% - Accent5 2 4 3" xfId="5782" xr:uid="{20C1B962-110E-400B-AE7B-A963D6E1413D}"/>
    <cellStyle name="20% - Accent5 2 4 4" xfId="1478" xr:uid="{84269A0F-EEF5-4AD5-8ECD-07A5448A7002}"/>
    <cellStyle name="20% - Accent5 2 5" xfId="1893" xr:uid="{5501FD62-ACA7-44AF-BBE8-124A0B72A758}"/>
    <cellStyle name="20% - Accent5 2 5 2" xfId="4122" xr:uid="{BCBDB1B0-B91E-423D-A693-F32DE03304E1}"/>
    <cellStyle name="20% - Accent5 2 5 2 2" xfId="8340" xr:uid="{1AE2D5F4-C079-4B76-A14B-4A02FED23082}"/>
    <cellStyle name="20% - Accent5 2 5 3" xfId="6195" xr:uid="{C1899811-8B21-40DC-B29A-BE0332649843}"/>
    <cellStyle name="20% - Accent5 2 6" xfId="2306" xr:uid="{F4DC8885-0CCA-4CE5-9BAD-C7D49A506449}"/>
    <cellStyle name="20% - Accent5 2 6 2" xfId="4535" xr:uid="{B72A50E6-1683-4D81-81AB-901CF01101ED}"/>
    <cellStyle name="20% - Accent5 2 6 2 2" xfId="8753" xr:uid="{02E4DDBC-4A8B-48AC-BC62-FA616D59E63E}"/>
    <cellStyle name="20% - Accent5 2 6 3" xfId="6608" xr:uid="{86F9D064-E4AC-4D5A-BD85-EE1AEE26A1F1}"/>
    <cellStyle name="20% - Accent5 2 7" xfId="2719" xr:uid="{707E6849-89D9-4514-A813-D9638973FE19}"/>
    <cellStyle name="20% - Accent5 2 7 2" xfId="4948" xr:uid="{97D970BB-71FB-49C5-8ADB-46C276BE0E29}"/>
    <cellStyle name="20% - Accent5 2 7 2 2" xfId="9166" xr:uid="{0C8845BD-2A9B-4611-9B2F-0C0F33244B5C}"/>
    <cellStyle name="20% - Accent5 2 7 3" xfId="7021" xr:uid="{0D56D369-0A14-49D3-B56D-46CACD251A65}"/>
    <cellStyle name="20% - Accent5 2 8" xfId="3132" xr:uid="{4A0D6CA0-D0FD-4DB7-AE7D-D9C50BEAA02A}"/>
    <cellStyle name="20% - Accent5 2 8 2" xfId="7434" xr:uid="{BA516FAD-3B1B-424D-A194-E6F8DA1A91E8}"/>
    <cellStyle name="20% - Accent5 2 9" xfId="5368" xr:uid="{918CA29A-435D-4E8B-8A9C-8BD0DE85961C}"/>
    <cellStyle name="20% - Accent5 3" xfId="38" xr:uid="{00000000-0005-0000-0000-000049000000}"/>
    <cellStyle name="20% - Accent5 3 2" xfId="39" xr:uid="{00000000-0005-0000-0000-00004A000000}"/>
    <cellStyle name="20% - Accent5 3 2 2" xfId="616" xr:uid="{00000000-0005-0000-0000-00004B000000}"/>
    <cellStyle name="20% - Accent5 3 2 2 2" xfId="3714" xr:uid="{6149464A-C63D-4521-9DB8-406F081D7A86}"/>
    <cellStyle name="20% - Accent5 3 2 2 2 2" xfId="7932" xr:uid="{7380C9BE-8A9B-429A-96DC-95BC5E755F6A}"/>
    <cellStyle name="20% - Accent5 3 2 2 3" xfId="5787" xr:uid="{83C18415-0DA1-4B7D-BB29-FC7BF6A8769F}"/>
    <cellStyle name="20% - Accent5 3 2 2 4" xfId="1483" xr:uid="{F9B765A0-D2D0-45D0-8E92-DC516AD56B16}"/>
    <cellStyle name="20% - Accent5 3 2 3" xfId="1898" xr:uid="{D1D2274D-CED0-45B4-B8AA-290AF46053DF}"/>
    <cellStyle name="20% - Accent5 3 2 3 2" xfId="4127" xr:uid="{0ABA039A-CFBD-49C9-AABC-99480E8B8047}"/>
    <cellStyle name="20% - Accent5 3 2 3 2 2" xfId="8345" xr:uid="{48C8D08F-4C81-4BDB-9DE5-E0A1C9883A5F}"/>
    <cellStyle name="20% - Accent5 3 2 3 3" xfId="6200" xr:uid="{61FD208A-709A-435C-AFBA-6B2BC7436620}"/>
    <cellStyle name="20% - Accent5 3 2 4" xfId="2311" xr:uid="{7553AAFD-4A6B-4338-91DF-B75DC914CBD3}"/>
    <cellStyle name="20% - Accent5 3 2 4 2" xfId="4540" xr:uid="{B6E8A796-B64B-4711-B8C6-46BA0BD3F3B7}"/>
    <cellStyle name="20% - Accent5 3 2 4 2 2" xfId="8758" xr:uid="{BC206B75-D054-41CC-88B0-0C5533258679}"/>
    <cellStyle name="20% - Accent5 3 2 4 3" xfId="6613" xr:uid="{0B333264-5A49-4DE1-8DEB-EA216C4C5A66}"/>
    <cellStyle name="20% - Accent5 3 2 5" xfId="2724" xr:uid="{3BA002A3-CC6E-456D-A22B-1EE5F7B5C51D}"/>
    <cellStyle name="20% - Accent5 3 2 5 2" xfId="4953" xr:uid="{6EBB1AE6-B1F3-443A-8ABF-97E7DE1A3EC7}"/>
    <cellStyle name="20% - Accent5 3 2 5 2 2" xfId="9171" xr:uid="{696C9C3A-1AB5-4D92-9D61-A083326D6FB2}"/>
    <cellStyle name="20% - Accent5 3 2 5 3" xfId="7026" xr:uid="{6EDF31F6-1A90-454C-8A2A-43330F3D201B}"/>
    <cellStyle name="20% - Accent5 3 2 6" xfId="3137" xr:uid="{8CF56DAE-F380-47CA-B062-B247BA57B061}"/>
    <cellStyle name="20% - Accent5 3 2 6 2" xfId="7439" xr:uid="{52030020-BC23-438B-B0B6-57971946A1B6}"/>
    <cellStyle name="20% - Accent5 3 2 7" xfId="5373" xr:uid="{E5CBF163-BAFF-4E1F-A789-E4D28687C8C2}"/>
    <cellStyle name="20% - Accent5 3 2 8" xfId="1069" xr:uid="{AA7C209B-95B3-4110-A57A-AA72313DCB9D}"/>
    <cellStyle name="20% - Accent5 3 3" xfId="615" xr:uid="{00000000-0005-0000-0000-00004C000000}"/>
    <cellStyle name="20% - Accent5 3 3 2" xfId="3713" xr:uid="{F3E9FF1E-B90D-4A07-B53A-46426DFEFBA0}"/>
    <cellStyle name="20% - Accent5 3 3 2 2" xfId="7931" xr:uid="{3C0B9BF2-66EE-44CE-A9A5-80BC41C18E2D}"/>
    <cellStyle name="20% - Accent5 3 3 3" xfId="5786" xr:uid="{ED2D15B2-5DCB-4D99-ABA5-8325DB6711D0}"/>
    <cellStyle name="20% - Accent5 3 3 4" xfId="1482" xr:uid="{244DE016-6136-4E42-AEEF-9E24AF8FE288}"/>
    <cellStyle name="20% - Accent5 3 4" xfId="1897" xr:uid="{367D81A8-1CEE-4356-B496-98E143F27E37}"/>
    <cellStyle name="20% - Accent5 3 4 2" xfId="4126" xr:uid="{39700ECC-835A-4390-83F0-B7C98379161E}"/>
    <cellStyle name="20% - Accent5 3 4 2 2" xfId="8344" xr:uid="{222C5140-5F8D-496E-850A-14742FA1624D}"/>
    <cellStyle name="20% - Accent5 3 4 3" xfId="6199" xr:uid="{20A03BD8-5130-48E9-B36B-00CF3D41026B}"/>
    <cellStyle name="20% - Accent5 3 5" xfId="2310" xr:uid="{5CF96765-07DC-4F33-816E-FA510057582E}"/>
    <cellStyle name="20% - Accent5 3 5 2" xfId="4539" xr:uid="{DB52CE19-5AF4-42AD-8B79-9504B9D39D2D}"/>
    <cellStyle name="20% - Accent5 3 5 2 2" xfId="8757" xr:uid="{941C4885-1833-45CA-B322-55219E2F2601}"/>
    <cellStyle name="20% - Accent5 3 5 3" xfId="6612" xr:uid="{DBAAD0BC-25B3-47D5-B359-C3A8065A9814}"/>
    <cellStyle name="20% - Accent5 3 6" xfId="2723" xr:uid="{CA22859D-500B-49C9-A753-DA4160250F47}"/>
    <cellStyle name="20% - Accent5 3 6 2" xfId="4952" xr:uid="{418615FD-64AD-4164-B3A9-CB717DF24012}"/>
    <cellStyle name="20% - Accent5 3 6 2 2" xfId="9170" xr:uid="{54E12D88-3F09-4AEB-A9AE-E4584FA3338A}"/>
    <cellStyle name="20% - Accent5 3 6 3" xfId="7025" xr:uid="{41D249E0-F01B-40B5-9DD3-A54B87CD3028}"/>
    <cellStyle name="20% - Accent5 3 7" xfId="3136" xr:uid="{FEA2BFAE-6B27-491A-B3D9-19957B402C31}"/>
    <cellStyle name="20% - Accent5 3 7 2" xfId="7438" xr:uid="{FCFB660C-3F21-4AB5-8487-2245FAC26EF7}"/>
    <cellStyle name="20% - Accent5 3 8" xfId="5372" xr:uid="{9D5C8047-2481-44B3-8E0F-E63F5F23E518}"/>
    <cellStyle name="20% - Accent5 3 9" xfId="1068" xr:uid="{8114324E-C8A9-4C22-87E6-13F96E8126C3}"/>
    <cellStyle name="20% - Accent5 4" xfId="40" xr:uid="{00000000-0005-0000-0000-00004D000000}"/>
    <cellStyle name="20% - Accent5 4 2" xfId="617" xr:uid="{00000000-0005-0000-0000-00004E000000}"/>
    <cellStyle name="20% - Accent5 4 2 2" xfId="3715" xr:uid="{4FB5434A-47EA-4735-8A98-D98B610660D5}"/>
    <cellStyle name="20% - Accent5 4 2 2 2" xfId="7933" xr:uid="{F75781F1-C9BE-46C6-92D3-4E09470D2C2A}"/>
    <cellStyle name="20% - Accent5 4 2 3" xfId="5788" xr:uid="{B3559BA0-5AFE-46FB-8B19-E517A1686F07}"/>
    <cellStyle name="20% - Accent5 4 2 4" xfId="1484" xr:uid="{94BFB6A5-ED3D-48C6-83D4-EF6560B78493}"/>
    <cellStyle name="20% - Accent5 4 3" xfId="1899" xr:uid="{FE1B6A2D-F631-4156-AFF7-B3909B9A3BCD}"/>
    <cellStyle name="20% - Accent5 4 3 2" xfId="4128" xr:uid="{056714D3-D5E0-4F54-BFD0-7B2DBA8F082E}"/>
    <cellStyle name="20% - Accent5 4 3 2 2" xfId="8346" xr:uid="{65678F84-2A90-42C2-BC89-FCEA4DA11F4E}"/>
    <cellStyle name="20% - Accent5 4 3 3" xfId="6201" xr:uid="{428FF02D-CE55-4938-A961-285112F94D92}"/>
    <cellStyle name="20% - Accent5 4 4" xfId="2312" xr:uid="{C2C5EDFE-CF20-4332-86B6-A4ABFA21B760}"/>
    <cellStyle name="20% - Accent5 4 4 2" xfId="4541" xr:uid="{E24DD7B4-4E66-4C3D-B32B-415ED98AC5E0}"/>
    <cellStyle name="20% - Accent5 4 4 2 2" xfId="8759" xr:uid="{CC17B71E-8FB4-4C42-B9B9-9217F42DD62F}"/>
    <cellStyle name="20% - Accent5 4 4 3" xfId="6614" xr:uid="{BD0A5071-AF43-491D-89BD-AE03486CD429}"/>
    <cellStyle name="20% - Accent5 4 5" xfId="2725" xr:uid="{99A87F70-7BB7-460E-AD1A-FB696CF982F5}"/>
    <cellStyle name="20% - Accent5 4 5 2" xfId="4954" xr:uid="{5754DB4B-A3C6-4AD8-82EE-7CA51AD3002E}"/>
    <cellStyle name="20% - Accent5 4 5 2 2" xfId="9172" xr:uid="{887A0218-469A-4465-A828-0A974B59DF4C}"/>
    <cellStyle name="20% - Accent5 4 5 3" xfId="7027" xr:uid="{5B27906A-DF8A-4828-8628-75623B83A311}"/>
    <cellStyle name="20% - Accent5 4 6" xfId="3138" xr:uid="{8CDAE905-B0F0-42E4-B360-D177EDD13D56}"/>
    <cellStyle name="20% - Accent5 4 6 2" xfId="7440" xr:uid="{47091993-D910-4458-ADEA-BE076A46CEDC}"/>
    <cellStyle name="20% - Accent5 4 7" xfId="5374" xr:uid="{FA39AADA-0C8A-46E9-B006-1B6208D98B0D}"/>
    <cellStyle name="20% - Accent5 4 8" xfId="1070" xr:uid="{9585502A-7755-4466-82CC-3E6487A3269D}"/>
    <cellStyle name="20% - Accent5 5" xfId="610" xr:uid="{00000000-0005-0000-0000-00004F000000}"/>
    <cellStyle name="20% - Accent5 5 2" xfId="3708" xr:uid="{AE3BD03A-D580-413A-A09A-6C04D900D543}"/>
    <cellStyle name="20% - Accent5 5 2 2" xfId="7926" xr:uid="{2C3CF4D0-2D7E-40AE-8AA1-019C706E1CC9}"/>
    <cellStyle name="20% - Accent5 5 3" xfId="5781" xr:uid="{1FAACE93-6CA9-4876-A60D-B8417D7562A4}"/>
    <cellStyle name="20% - Accent5 5 4" xfId="1477" xr:uid="{8165E7DD-8D18-4211-BD98-C5D3684587AA}"/>
    <cellStyle name="20% - Accent5 6" xfId="1892" xr:uid="{677FA728-A929-4D99-9550-427D4E3E73DC}"/>
    <cellStyle name="20% - Accent5 6 2" xfId="4121" xr:uid="{BAF3602A-58D1-48CA-9D41-039D204215AA}"/>
    <cellStyle name="20% - Accent5 6 2 2" xfId="8339" xr:uid="{294439D1-9A07-40C4-85A9-CBE00E0F7163}"/>
    <cellStyle name="20% - Accent5 6 3" xfId="6194" xr:uid="{9CABB171-A250-41E4-AC78-924B33EEA16E}"/>
    <cellStyle name="20% - Accent5 7" xfId="2305" xr:uid="{79CD64EA-814F-4EB5-9AFE-876E63F5766A}"/>
    <cellStyle name="20% - Accent5 7 2" xfId="4534" xr:uid="{E6036EA1-AD67-4F11-AA60-9F7441407682}"/>
    <cellStyle name="20% - Accent5 7 2 2" xfId="8752" xr:uid="{DF2AC161-5F47-4E6D-9793-2BC38AF83D87}"/>
    <cellStyle name="20% - Accent5 7 3" xfId="6607" xr:uid="{6CA88EF3-10C9-4518-9724-DC204CA5F81F}"/>
    <cellStyle name="20% - Accent5 8" xfId="2718" xr:uid="{03AAF8E1-16CC-4BE0-9742-C5885A724F82}"/>
    <cellStyle name="20% - Accent5 8 2" xfId="4947" xr:uid="{423A7A45-0715-4579-B8A9-46112B7BD5EB}"/>
    <cellStyle name="20% - Accent5 8 2 2" xfId="9165" xr:uid="{3F88DA04-E023-4DD4-B67F-FA725931A9B1}"/>
    <cellStyle name="20% - Accent5 8 3" xfId="7020" xr:uid="{DCFA7E42-4FEE-4E4E-B36B-8D259567E3CA}"/>
    <cellStyle name="20% - Accent5 9" xfId="3131" xr:uid="{6E204DDB-8A52-42F2-AB27-3908F64D53DC}"/>
    <cellStyle name="20% - Accent5 9 2" xfId="7433" xr:uid="{AD2F9FA9-F94E-4054-A649-99AD36562B9E}"/>
    <cellStyle name="20% - Accent6" xfId="41" builtinId="50" customBuiltin="1"/>
    <cellStyle name="20% - Accent6 10" xfId="5375" xr:uid="{1514E09E-F4AC-4FCE-88D4-595C21867F08}"/>
    <cellStyle name="20% - Accent6 11" xfId="1071" xr:uid="{7A9C9395-6AB7-43E3-87BF-7E1F1F477232}"/>
    <cellStyle name="20% - Accent6 2" xfId="42" xr:uid="{00000000-0005-0000-0000-000051000000}"/>
    <cellStyle name="20% - Accent6 2 10" xfId="1072" xr:uid="{E01B436B-E261-41F9-8CDB-40807A35C408}"/>
    <cellStyle name="20% - Accent6 2 2" xfId="43" xr:uid="{00000000-0005-0000-0000-000052000000}"/>
    <cellStyle name="20% - Accent6 2 2 2" xfId="44" xr:uid="{00000000-0005-0000-0000-000053000000}"/>
    <cellStyle name="20% - Accent6 2 2 2 2" xfId="621" xr:uid="{00000000-0005-0000-0000-000054000000}"/>
    <cellStyle name="20% - Accent6 2 2 2 2 2" xfId="3719" xr:uid="{BBE0B5F7-D5BB-4019-8B9A-B607EDE3B3D7}"/>
    <cellStyle name="20% - Accent6 2 2 2 2 2 2" xfId="7937" xr:uid="{FC1550B1-8886-4874-8F8F-15F1A6B90B62}"/>
    <cellStyle name="20% - Accent6 2 2 2 2 3" xfId="5792" xr:uid="{9408C424-63DE-4041-82E4-BDF0F6AEAB82}"/>
    <cellStyle name="20% - Accent6 2 2 2 2 4" xfId="1488" xr:uid="{3BB9D08D-E3C9-4771-8844-5B0575BBECB7}"/>
    <cellStyle name="20% - Accent6 2 2 2 3" xfId="1903" xr:uid="{A6459BC0-96A8-4590-9254-6E1E05189ACD}"/>
    <cellStyle name="20% - Accent6 2 2 2 3 2" xfId="4132" xr:uid="{BCEF2014-1D3A-45D7-B9BF-4C68F670936A}"/>
    <cellStyle name="20% - Accent6 2 2 2 3 2 2" xfId="8350" xr:uid="{D5F1ADB6-FDDE-4E20-89BB-B47A66DDABE2}"/>
    <cellStyle name="20% - Accent6 2 2 2 3 3" xfId="6205" xr:uid="{CD427392-E5E9-424B-A168-547E2039140B}"/>
    <cellStyle name="20% - Accent6 2 2 2 4" xfId="2316" xr:uid="{464636CA-DA0C-4C10-9313-2CA73568F1A4}"/>
    <cellStyle name="20% - Accent6 2 2 2 4 2" xfId="4545" xr:uid="{772F3BE5-AA95-4C3A-9042-400AC41184E8}"/>
    <cellStyle name="20% - Accent6 2 2 2 4 2 2" xfId="8763" xr:uid="{CE5CAF79-FDED-4C4D-9E73-68A0E3722538}"/>
    <cellStyle name="20% - Accent6 2 2 2 4 3" xfId="6618" xr:uid="{D0A49BCA-B6F7-47D5-98F0-20EB78BB9A4A}"/>
    <cellStyle name="20% - Accent6 2 2 2 5" xfId="2729" xr:uid="{E132ED58-318F-4225-A077-FF8C3B9D939D}"/>
    <cellStyle name="20% - Accent6 2 2 2 5 2" xfId="4958" xr:uid="{AC871526-D551-44FC-85DF-6FE406D8B1FD}"/>
    <cellStyle name="20% - Accent6 2 2 2 5 2 2" xfId="9176" xr:uid="{A64BFB4D-A50C-4BE9-A116-E6BDAE22265F}"/>
    <cellStyle name="20% - Accent6 2 2 2 5 3" xfId="7031" xr:uid="{B6B6E741-D432-48F5-A38C-0BD2CF80AF3B}"/>
    <cellStyle name="20% - Accent6 2 2 2 6" xfId="3142" xr:uid="{24635499-6D8C-4B0A-8BA4-8F84C8C29D24}"/>
    <cellStyle name="20% - Accent6 2 2 2 6 2" xfId="7444" xr:uid="{613BDE3D-BAF9-46E7-876F-6AA787499E0B}"/>
    <cellStyle name="20% - Accent6 2 2 2 7" xfId="5378" xr:uid="{57B3CC26-827D-43BE-B07B-40F4996C70AD}"/>
    <cellStyle name="20% - Accent6 2 2 2 8" xfId="1074" xr:uid="{185B1D3D-A691-47A9-89E1-89F2ED594F98}"/>
    <cellStyle name="20% - Accent6 2 2 3" xfId="620" xr:uid="{00000000-0005-0000-0000-000055000000}"/>
    <cellStyle name="20% - Accent6 2 2 3 2" xfId="3718" xr:uid="{3D04FEFB-002E-432E-82B0-1744E9E36624}"/>
    <cellStyle name="20% - Accent6 2 2 3 2 2" xfId="7936" xr:uid="{2D6459FF-772B-4DD8-ABA5-E4151D7211F0}"/>
    <cellStyle name="20% - Accent6 2 2 3 3" xfId="5791" xr:uid="{D29C1F7C-8A0B-433A-8DF7-7962CD5806F1}"/>
    <cellStyle name="20% - Accent6 2 2 3 4" xfId="1487" xr:uid="{223D9152-43A5-419A-9B5D-9A7603C0F1A9}"/>
    <cellStyle name="20% - Accent6 2 2 4" xfId="1902" xr:uid="{1048A6C8-939B-4BD8-99B2-58D7F0BAF6DF}"/>
    <cellStyle name="20% - Accent6 2 2 4 2" xfId="4131" xr:uid="{BD23C8DC-8E87-43B6-810D-00DFC0B8DF33}"/>
    <cellStyle name="20% - Accent6 2 2 4 2 2" xfId="8349" xr:uid="{8FEC5B72-8885-4134-8650-9DC16A6690CD}"/>
    <cellStyle name="20% - Accent6 2 2 4 3" xfId="6204" xr:uid="{97B8AE7D-D2ED-46D0-A586-70C3143AB2E0}"/>
    <cellStyle name="20% - Accent6 2 2 5" xfId="2315" xr:uid="{F8704221-B49E-44D0-8875-4EC67721E752}"/>
    <cellStyle name="20% - Accent6 2 2 5 2" xfId="4544" xr:uid="{A11D87E2-02CC-4D65-8AD5-746D40493A95}"/>
    <cellStyle name="20% - Accent6 2 2 5 2 2" xfId="8762" xr:uid="{9DE9672E-94AB-4379-9CC4-08ACCB388671}"/>
    <cellStyle name="20% - Accent6 2 2 5 3" xfId="6617" xr:uid="{87EED9E7-6ABC-4D70-A02B-6F4372FE4F5B}"/>
    <cellStyle name="20% - Accent6 2 2 6" xfId="2728" xr:uid="{C910578D-AADC-4049-BF92-1FD57752ADF6}"/>
    <cellStyle name="20% - Accent6 2 2 6 2" xfId="4957" xr:uid="{4DC9BB7C-E580-4FA4-A374-333D5A3144A9}"/>
    <cellStyle name="20% - Accent6 2 2 6 2 2" xfId="9175" xr:uid="{45262031-82CC-4370-A614-A069EBAB2D20}"/>
    <cellStyle name="20% - Accent6 2 2 6 3" xfId="7030" xr:uid="{F4E6A477-1261-46A6-8C15-96B35E5DD5F4}"/>
    <cellStyle name="20% - Accent6 2 2 7" xfId="3141" xr:uid="{D8E392A7-1338-4BDB-B7DE-BA92D86C8FC3}"/>
    <cellStyle name="20% - Accent6 2 2 7 2" xfId="7443" xr:uid="{399BC108-2AEE-436B-82B2-717A387CDD5F}"/>
    <cellStyle name="20% - Accent6 2 2 8" xfId="5377" xr:uid="{602CB6A0-C9A1-4E7F-8EEC-1E9871FA354B}"/>
    <cellStyle name="20% - Accent6 2 2 9" xfId="1073" xr:uid="{F3F1097F-FF93-43AF-8B36-0AA235C2D493}"/>
    <cellStyle name="20% - Accent6 2 3" xfId="45" xr:uid="{00000000-0005-0000-0000-000056000000}"/>
    <cellStyle name="20% - Accent6 2 3 2" xfId="622" xr:uid="{00000000-0005-0000-0000-000057000000}"/>
    <cellStyle name="20% - Accent6 2 3 2 2" xfId="3720" xr:uid="{3311FBE7-4B53-4A38-8581-353BD4FADF7E}"/>
    <cellStyle name="20% - Accent6 2 3 2 2 2" xfId="7938" xr:uid="{938FCE9E-E654-4D47-9B62-F40C56A6DDA7}"/>
    <cellStyle name="20% - Accent6 2 3 2 3" xfId="5793" xr:uid="{732255B4-8361-4C5C-B276-238F5B720A6C}"/>
    <cellStyle name="20% - Accent6 2 3 2 4" xfId="1489" xr:uid="{357FB32F-633D-4F56-A34B-20C4A2C1A3A2}"/>
    <cellStyle name="20% - Accent6 2 3 3" xfId="1904" xr:uid="{F8CB6C99-0ECB-4EFA-BB41-AB2F8A34D0EB}"/>
    <cellStyle name="20% - Accent6 2 3 3 2" xfId="4133" xr:uid="{37794270-D3A3-4529-A48D-9847488BDA94}"/>
    <cellStyle name="20% - Accent6 2 3 3 2 2" xfId="8351" xr:uid="{038E60AF-F480-4615-9646-12C77D3BFA12}"/>
    <cellStyle name="20% - Accent6 2 3 3 3" xfId="6206" xr:uid="{CD2681A5-56C3-4944-9944-A093E2114A1C}"/>
    <cellStyle name="20% - Accent6 2 3 4" xfId="2317" xr:uid="{84E41DC2-1F68-4B92-94ED-0BA71EFC5C1B}"/>
    <cellStyle name="20% - Accent6 2 3 4 2" xfId="4546" xr:uid="{FAABEBF4-1BC9-417A-A740-7400F6AE053B}"/>
    <cellStyle name="20% - Accent6 2 3 4 2 2" xfId="8764" xr:uid="{49B34375-373A-408B-B353-C47A637BCB4C}"/>
    <cellStyle name="20% - Accent6 2 3 4 3" xfId="6619" xr:uid="{A2C3708A-ABA4-4D1D-8F1F-92C56231DAA8}"/>
    <cellStyle name="20% - Accent6 2 3 5" xfId="2730" xr:uid="{6D40481A-17A2-4AF3-B2CA-C61766628928}"/>
    <cellStyle name="20% - Accent6 2 3 5 2" xfId="4959" xr:uid="{59F0075D-3750-4FB6-B138-EACB8E6FC42D}"/>
    <cellStyle name="20% - Accent6 2 3 5 2 2" xfId="9177" xr:uid="{5BA07C6F-6972-4B3D-9CBF-B8D3AA6934A5}"/>
    <cellStyle name="20% - Accent6 2 3 5 3" xfId="7032" xr:uid="{15B3CC57-5349-4C1D-B008-BB99A51C42D1}"/>
    <cellStyle name="20% - Accent6 2 3 6" xfId="3143" xr:uid="{FC1F6487-0138-4264-B954-D3E23F165768}"/>
    <cellStyle name="20% - Accent6 2 3 6 2" xfId="7445" xr:uid="{5B3ABD6C-8C7A-4CF6-8BDC-8BCE2A33E737}"/>
    <cellStyle name="20% - Accent6 2 3 7" xfId="5379" xr:uid="{8D622DF4-08F1-48DA-874F-90518E27BA62}"/>
    <cellStyle name="20% - Accent6 2 3 8" xfId="1075" xr:uid="{D3DAF894-49A2-465D-BAE1-043BBDE29F6F}"/>
    <cellStyle name="20% - Accent6 2 4" xfId="619" xr:uid="{00000000-0005-0000-0000-000058000000}"/>
    <cellStyle name="20% - Accent6 2 4 2" xfId="3717" xr:uid="{962CA005-E9E1-42D7-927F-EABCCEA1B72B}"/>
    <cellStyle name="20% - Accent6 2 4 2 2" xfId="7935" xr:uid="{AD0EBAF2-DB97-4B62-8006-51E8B676AC80}"/>
    <cellStyle name="20% - Accent6 2 4 3" xfId="5790" xr:uid="{8125EF60-7C0D-425E-8F98-FAD57050AE99}"/>
    <cellStyle name="20% - Accent6 2 4 4" xfId="1486" xr:uid="{C1526D0A-0CEE-4E65-8C78-79DA9770DC8E}"/>
    <cellStyle name="20% - Accent6 2 5" xfId="1901" xr:uid="{6F7749BD-DB4D-45F1-B98D-44F72612DACD}"/>
    <cellStyle name="20% - Accent6 2 5 2" xfId="4130" xr:uid="{E46376BC-AFF8-4829-8AA9-EB779ED15951}"/>
    <cellStyle name="20% - Accent6 2 5 2 2" xfId="8348" xr:uid="{AD0A1C3E-1414-4582-A7AF-8FC373F07D9A}"/>
    <cellStyle name="20% - Accent6 2 5 3" xfId="6203" xr:uid="{017B8936-C1F6-4229-B6EE-B0BD107499BF}"/>
    <cellStyle name="20% - Accent6 2 6" xfId="2314" xr:uid="{D8120329-1CCC-43CF-86DD-645D6C1C4821}"/>
    <cellStyle name="20% - Accent6 2 6 2" xfId="4543" xr:uid="{CEA4EEDF-2C36-49B0-9E35-90F20A2B8D3C}"/>
    <cellStyle name="20% - Accent6 2 6 2 2" xfId="8761" xr:uid="{3A40F72E-0E7B-4477-BE1B-994B24867E20}"/>
    <cellStyle name="20% - Accent6 2 6 3" xfId="6616" xr:uid="{A18700D3-330F-435A-804E-77CBBF5D4D11}"/>
    <cellStyle name="20% - Accent6 2 7" xfId="2727" xr:uid="{8A7C9781-F0A1-471A-87B6-137637AFC1BA}"/>
    <cellStyle name="20% - Accent6 2 7 2" xfId="4956" xr:uid="{7F4AA175-C8ED-405F-9B64-66475A838E27}"/>
    <cellStyle name="20% - Accent6 2 7 2 2" xfId="9174" xr:uid="{AB952849-5956-4C4F-84D3-6FED5E175E29}"/>
    <cellStyle name="20% - Accent6 2 7 3" xfId="7029" xr:uid="{36D5216E-87F0-4307-A939-C2F3BD6DB19C}"/>
    <cellStyle name="20% - Accent6 2 8" xfId="3140" xr:uid="{EEEB46C2-4996-47CE-A884-00EC8F3376C5}"/>
    <cellStyle name="20% - Accent6 2 8 2" xfId="7442" xr:uid="{B35C5087-B660-4F02-A05E-FD1565D9C005}"/>
    <cellStyle name="20% - Accent6 2 9" xfId="5376" xr:uid="{E7080DF1-5E3D-43F2-8869-6E5569926946}"/>
    <cellStyle name="20% - Accent6 3" xfId="46" xr:uid="{00000000-0005-0000-0000-000059000000}"/>
    <cellStyle name="20% - Accent6 3 2" xfId="47" xr:uid="{00000000-0005-0000-0000-00005A000000}"/>
    <cellStyle name="20% - Accent6 3 2 2" xfId="624" xr:uid="{00000000-0005-0000-0000-00005B000000}"/>
    <cellStyle name="20% - Accent6 3 2 2 2" xfId="3722" xr:uid="{281C941A-5A72-4FA0-9957-529B7D176138}"/>
    <cellStyle name="20% - Accent6 3 2 2 2 2" xfId="7940" xr:uid="{12CB0003-A5BC-4E2A-A426-366433604370}"/>
    <cellStyle name="20% - Accent6 3 2 2 3" xfId="5795" xr:uid="{2C921292-3575-44B2-B8BB-D63A62E11194}"/>
    <cellStyle name="20% - Accent6 3 2 2 4" xfId="1491" xr:uid="{8335AB05-6CD4-4780-B251-CFACC20A1EAC}"/>
    <cellStyle name="20% - Accent6 3 2 3" xfId="1906" xr:uid="{34031F68-435D-4022-B8CD-4D8234B4C261}"/>
    <cellStyle name="20% - Accent6 3 2 3 2" xfId="4135" xr:uid="{DCE554BB-2A1E-42C1-A879-902ED8E2A41A}"/>
    <cellStyle name="20% - Accent6 3 2 3 2 2" xfId="8353" xr:uid="{6C90ACAB-AE98-4CB9-8A78-3FE6C86D2A0A}"/>
    <cellStyle name="20% - Accent6 3 2 3 3" xfId="6208" xr:uid="{A7F22603-0437-40E4-A54B-5982C557E066}"/>
    <cellStyle name="20% - Accent6 3 2 4" xfId="2319" xr:uid="{58E5B5A8-4A10-4C08-9901-DA396B4F11F8}"/>
    <cellStyle name="20% - Accent6 3 2 4 2" xfId="4548" xr:uid="{A368A6A9-4092-4F01-8BF8-8F37EA1A2E4B}"/>
    <cellStyle name="20% - Accent6 3 2 4 2 2" xfId="8766" xr:uid="{4C985069-D032-4441-9D13-C60EB7D38DDE}"/>
    <cellStyle name="20% - Accent6 3 2 4 3" xfId="6621" xr:uid="{13DCE775-EC48-4067-8CA6-31FFF0CE0BDF}"/>
    <cellStyle name="20% - Accent6 3 2 5" xfId="2732" xr:uid="{CEC01251-5950-4EF4-8E5F-8FFCD2A98BED}"/>
    <cellStyle name="20% - Accent6 3 2 5 2" xfId="4961" xr:uid="{F71E8AB4-5FA4-40E2-8295-6866D9C1A074}"/>
    <cellStyle name="20% - Accent6 3 2 5 2 2" xfId="9179" xr:uid="{C14C571C-9E00-408E-8054-509B157C7EAF}"/>
    <cellStyle name="20% - Accent6 3 2 5 3" xfId="7034" xr:uid="{3F8DEB60-55A9-4857-B983-34F75AFF5CB2}"/>
    <cellStyle name="20% - Accent6 3 2 6" xfId="3145" xr:uid="{4CA437A1-F416-4B21-89D7-35A90BF2CF91}"/>
    <cellStyle name="20% - Accent6 3 2 6 2" xfId="7447" xr:uid="{E21E1310-081F-4CFB-8A16-E54AFD5C5C3D}"/>
    <cellStyle name="20% - Accent6 3 2 7" xfId="5381" xr:uid="{1BDA9CE0-8510-4DC7-B873-76676C40D454}"/>
    <cellStyle name="20% - Accent6 3 2 8" xfId="1077" xr:uid="{882EF45D-D577-4F4D-ADB2-FC162D93DEFC}"/>
    <cellStyle name="20% - Accent6 3 3" xfId="623" xr:uid="{00000000-0005-0000-0000-00005C000000}"/>
    <cellStyle name="20% - Accent6 3 3 2" xfId="3721" xr:uid="{1B60B6D6-236A-40DE-92D1-BC48E7B0E060}"/>
    <cellStyle name="20% - Accent6 3 3 2 2" xfId="7939" xr:uid="{708E70BC-6892-49B7-8942-18411622CF58}"/>
    <cellStyle name="20% - Accent6 3 3 3" xfId="5794" xr:uid="{96DCF108-1024-4463-8125-041688807F60}"/>
    <cellStyle name="20% - Accent6 3 3 4" xfId="1490" xr:uid="{4D6E53AC-5253-4876-866B-707CC4E2B6A3}"/>
    <cellStyle name="20% - Accent6 3 4" xfId="1905" xr:uid="{7BFD98F6-F545-40F8-B2EE-3EE8D43EF847}"/>
    <cellStyle name="20% - Accent6 3 4 2" xfId="4134" xr:uid="{242A2581-1304-45B4-A3AB-7DE77EBD5A03}"/>
    <cellStyle name="20% - Accent6 3 4 2 2" xfId="8352" xr:uid="{CE291EE2-1EC9-44A4-9DBB-6FECB32BEADB}"/>
    <cellStyle name="20% - Accent6 3 4 3" xfId="6207" xr:uid="{54BB33A7-468E-43AB-9988-142ADF226697}"/>
    <cellStyle name="20% - Accent6 3 5" xfId="2318" xr:uid="{7E89C7EE-03EE-412A-8B30-A559CB7E4F31}"/>
    <cellStyle name="20% - Accent6 3 5 2" xfId="4547" xr:uid="{A902392A-F3A8-457C-B713-5FCDCEFE7485}"/>
    <cellStyle name="20% - Accent6 3 5 2 2" xfId="8765" xr:uid="{787A47CA-F4E7-4ACE-A299-2C6D3C1FB4DA}"/>
    <cellStyle name="20% - Accent6 3 5 3" xfId="6620" xr:uid="{A98BE68C-B099-4C4F-A6C0-59EC7F9D813C}"/>
    <cellStyle name="20% - Accent6 3 6" xfId="2731" xr:uid="{9AA0D996-CD31-4518-A7A8-282A5C8335D0}"/>
    <cellStyle name="20% - Accent6 3 6 2" xfId="4960" xr:uid="{0FA80EB4-5BC0-4BFF-AE81-BD5B6FC67075}"/>
    <cellStyle name="20% - Accent6 3 6 2 2" xfId="9178" xr:uid="{0F637677-4277-4359-933B-ACC79FD3E662}"/>
    <cellStyle name="20% - Accent6 3 6 3" xfId="7033" xr:uid="{ECE1B652-35E8-4A28-A228-48870CA5F814}"/>
    <cellStyle name="20% - Accent6 3 7" xfId="3144" xr:uid="{04309ABE-78B7-49E9-83B4-E6B503FC4ACF}"/>
    <cellStyle name="20% - Accent6 3 7 2" xfId="7446" xr:uid="{DA303603-05E5-41A6-AD98-5B981DC568EE}"/>
    <cellStyle name="20% - Accent6 3 8" xfId="5380" xr:uid="{E909A7D5-12E1-4CA8-9611-FAA78098E86B}"/>
    <cellStyle name="20% - Accent6 3 9" xfId="1076" xr:uid="{19C43B8A-B52F-4D57-B80B-F67BE796E79B}"/>
    <cellStyle name="20% - Accent6 4" xfId="48" xr:uid="{00000000-0005-0000-0000-00005D000000}"/>
    <cellStyle name="20% - Accent6 4 2" xfId="625" xr:uid="{00000000-0005-0000-0000-00005E000000}"/>
    <cellStyle name="20% - Accent6 4 2 2" xfId="3723" xr:uid="{00FCD5E4-7E93-4FB5-A2AB-1A148CED1EFB}"/>
    <cellStyle name="20% - Accent6 4 2 2 2" xfId="7941" xr:uid="{E782DFB7-D883-4E39-ABE1-819180D5D2B0}"/>
    <cellStyle name="20% - Accent6 4 2 3" xfId="5796" xr:uid="{A3070C59-3A9E-45DB-9158-B53F9AC6BF0F}"/>
    <cellStyle name="20% - Accent6 4 2 4" xfId="1492" xr:uid="{1D4D039E-8420-4300-A0F0-A417D858BB5E}"/>
    <cellStyle name="20% - Accent6 4 3" xfId="1907" xr:uid="{84C01A6E-B3FB-41B1-BED4-E83D98F41F35}"/>
    <cellStyle name="20% - Accent6 4 3 2" xfId="4136" xr:uid="{E053C958-E790-472E-8FE7-53150C5E3B3C}"/>
    <cellStyle name="20% - Accent6 4 3 2 2" xfId="8354" xr:uid="{F039F6B6-9125-43A7-BDCA-FDE8106DCFD0}"/>
    <cellStyle name="20% - Accent6 4 3 3" xfId="6209" xr:uid="{4B9AF047-3B93-4D3A-A80F-8ADCD1860B4A}"/>
    <cellStyle name="20% - Accent6 4 4" xfId="2320" xr:uid="{43735ED8-9613-43F0-9AA6-891D7F046F04}"/>
    <cellStyle name="20% - Accent6 4 4 2" xfId="4549" xr:uid="{4AA7FB72-C0A6-4648-82C6-E319F5385AF8}"/>
    <cellStyle name="20% - Accent6 4 4 2 2" xfId="8767" xr:uid="{ED5A110D-D36C-4485-A8B4-430209DFC79B}"/>
    <cellStyle name="20% - Accent6 4 4 3" xfId="6622" xr:uid="{0CE6DE3E-A174-4760-8730-99D73232C6D6}"/>
    <cellStyle name="20% - Accent6 4 5" xfId="2733" xr:uid="{3F61CF27-9E27-4272-9D87-ADD152022545}"/>
    <cellStyle name="20% - Accent6 4 5 2" xfId="4962" xr:uid="{7D36E18D-1A43-4C3E-B1C8-5725123CD128}"/>
    <cellStyle name="20% - Accent6 4 5 2 2" xfId="9180" xr:uid="{70C951E8-0EF9-4158-B95B-FC798716442C}"/>
    <cellStyle name="20% - Accent6 4 5 3" xfId="7035" xr:uid="{7C6EBCFC-7A7F-4FB2-9D46-C7E11F9DFB8F}"/>
    <cellStyle name="20% - Accent6 4 6" xfId="3146" xr:uid="{41474255-ADCD-4A41-98FF-F1B3D45D455F}"/>
    <cellStyle name="20% - Accent6 4 6 2" xfId="7448" xr:uid="{2E7CE13A-0996-4DC5-8469-3EA0BEC2F0EC}"/>
    <cellStyle name="20% - Accent6 4 7" xfId="5382" xr:uid="{76D6A39A-AE8C-476D-8069-28767BFED167}"/>
    <cellStyle name="20% - Accent6 4 8" xfId="1078" xr:uid="{8A466DA4-03CA-402A-9725-118BABB2E528}"/>
    <cellStyle name="20% - Accent6 5" xfId="618" xr:uid="{00000000-0005-0000-0000-00005F000000}"/>
    <cellStyle name="20% - Accent6 5 2" xfId="3716" xr:uid="{DEE328EA-DC09-477E-BAEF-CBC0B4C824FF}"/>
    <cellStyle name="20% - Accent6 5 2 2" xfId="7934" xr:uid="{CB9FD2CA-09A8-4B67-8271-57CF05DDA412}"/>
    <cellStyle name="20% - Accent6 5 3" xfId="5789" xr:uid="{048CE747-CC44-44E8-8BDD-572EC3189349}"/>
    <cellStyle name="20% - Accent6 5 4" xfId="1485" xr:uid="{E031A27A-F009-43D0-AF91-A188121BA8C1}"/>
    <cellStyle name="20% - Accent6 6" xfId="1900" xr:uid="{E0CECF35-ED2B-4196-A91A-CBB75C184E57}"/>
    <cellStyle name="20% - Accent6 6 2" xfId="4129" xr:uid="{133155F4-982F-446E-9A7D-69C5611A7616}"/>
    <cellStyle name="20% - Accent6 6 2 2" xfId="8347" xr:uid="{D32BC877-7A8C-4BE7-B508-C494700A4F9D}"/>
    <cellStyle name="20% - Accent6 6 3" xfId="6202" xr:uid="{C3F2A8BD-6C5A-4F1D-96F3-D7E2F5B75032}"/>
    <cellStyle name="20% - Accent6 7" xfId="2313" xr:uid="{C4BBAD93-12F8-402B-94A2-E317815A379E}"/>
    <cellStyle name="20% - Accent6 7 2" xfId="4542" xr:uid="{705AA623-4AC5-439E-8182-5ED63CD2635E}"/>
    <cellStyle name="20% - Accent6 7 2 2" xfId="8760" xr:uid="{590A2249-201C-4281-9820-118582E7A0A7}"/>
    <cellStyle name="20% - Accent6 7 3" xfId="6615" xr:uid="{4B6E9F55-D31B-47AE-A296-9731B39B1F54}"/>
    <cellStyle name="20% - Accent6 8" xfId="2726" xr:uid="{BE9D35DC-199D-4004-9C6A-BCEF8718DF88}"/>
    <cellStyle name="20% - Accent6 8 2" xfId="4955" xr:uid="{4CDB6978-7EFF-4754-85B4-44F3B19836AC}"/>
    <cellStyle name="20% - Accent6 8 2 2" xfId="9173" xr:uid="{664414E7-6E63-4802-8CA6-C1B201636BF9}"/>
    <cellStyle name="20% - Accent6 8 3" xfId="7028" xr:uid="{E34B28D1-BABB-4F92-B7DD-C6EFBA13D39A}"/>
    <cellStyle name="20% - Accent6 9" xfId="3139" xr:uid="{55C4DAEC-F5FE-4F81-B43E-55F07F100D3A}"/>
    <cellStyle name="20% - Accent6 9 2" xfId="7441" xr:uid="{A0FBD624-CA6A-4959-8633-101A57185007}"/>
    <cellStyle name="40% - Accent1" xfId="49" builtinId="31" customBuiltin="1"/>
    <cellStyle name="40% - Accent1 10" xfId="5383" xr:uid="{7B6AD79A-7A7A-4072-8A11-BCA903797D4A}"/>
    <cellStyle name="40% - Accent1 11" xfId="1079" xr:uid="{D742089D-930D-4680-8D22-297CE656E12D}"/>
    <cellStyle name="40% - Accent1 2" xfId="50" xr:uid="{00000000-0005-0000-0000-000061000000}"/>
    <cellStyle name="40% - Accent1 2 10" xfId="1080" xr:uid="{D7C599D9-E98C-4E66-9965-09D3A989DAC2}"/>
    <cellStyle name="40% - Accent1 2 2" xfId="51" xr:uid="{00000000-0005-0000-0000-000062000000}"/>
    <cellStyle name="40% - Accent1 2 2 2" xfId="52" xr:uid="{00000000-0005-0000-0000-000063000000}"/>
    <cellStyle name="40% - Accent1 2 2 2 2" xfId="629" xr:uid="{00000000-0005-0000-0000-000064000000}"/>
    <cellStyle name="40% - Accent1 2 2 2 2 2" xfId="3727" xr:uid="{B2EC1938-26BF-4BA9-AF37-C002623740FE}"/>
    <cellStyle name="40% - Accent1 2 2 2 2 2 2" xfId="7945" xr:uid="{5B51D9A0-46DC-4536-BDEB-8652A3D3FA35}"/>
    <cellStyle name="40% - Accent1 2 2 2 2 3" xfId="5800" xr:uid="{ABD277C0-82D8-4997-96F2-24C7CA16ACDD}"/>
    <cellStyle name="40% - Accent1 2 2 2 2 4" xfId="1496" xr:uid="{9E17C06C-9669-4E73-84AD-8C4E5E05B9D7}"/>
    <cellStyle name="40% - Accent1 2 2 2 3" xfId="1911" xr:uid="{6D5A368D-BB25-46C2-895D-822FE6FDA377}"/>
    <cellStyle name="40% - Accent1 2 2 2 3 2" xfId="4140" xr:uid="{2A883D50-367A-4826-9739-826E9AF166D4}"/>
    <cellStyle name="40% - Accent1 2 2 2 3 2 2" xfId="8358" xr:uid="{1E6C025D-28C6-49FC-8F01-1014900FE2E5}"/>
    <cellStyle name="40% - Accent1 2 2 2 3 3" xfId="6213" xr:uid="{150C4BA0-A638-48CA-940D-04D4DA45E182}"/>
    <cellStyle name="40% - Accent1 2 2 2 4" xfId="2324" xr:uid="{49B23EFF-B154-4CFC-8044-03AE95C55781}"/>
    <cellStyle name="40% - Accent1 2 2 2 4 2" xfId="4553" xr:uid="{FE77499A-3C70-4F8B-A6C0-B99B2E70BC19}"/>
    <cellStyle name="40% - Accent1 2 2 2 4 2 2" xfId="8771" xr:uid="{002AE8E3-AFE4-4BE6-B879-ECA58C3F28D4}"/>
    <cellStyle name="40% - Accent1 2 2 2 4 3" xfId="6626" xr:uid="{D229B729-3E1F-4137-BE73-D26B466B1F32}"/>
    <cellStyle name="40% - Accent1 2 2 2 5" xfId="2737" xr:uid="{E3E5D30C-BC1D-4947-8FDA-A03F27AF41F5}"/>
    <cellStyle name="40% - Accent1 2 2 2 5 2" xfId="4966" xr:uid="{B0BC2D7C-1EF8-41A0-80D6-955BFF769135}"/>
    <cellStyle name="40% - Accent1 2 2 2 5 2 2" xfId="9184" xr:uid="{3348312F-947F-4808-B7F9-EAC5A68A3327}"/>
    <cellStyle name="40% - Accent1 2 2 2 5 3" xfId="7039" xr:uid="{3742070E-B70F-4AFA-9AED-F75290E67D9B}"/>
    <cellStyle name="40% - Accent1 2 2 2 6" xfId="3150" xr:uid="{0021F7D4-F920-49A9-9DED-6C36820B2CF3}"/>
    <cellStyle name="40% - Accent1 2 2 2 6 2" xfId="7452" xr:uid="{1D9BDBD5-16F3-4242-AF2C-2036E36C366C}"/>
    <cellStyle name="40% - Accent1 2 2 2 7" xfId="5386" xr:uid="{B0D94752-B14F-448D-BDA1-9654BD90511C}"/>
    <cellStyle name="40% - Accent1 2 2 2 8" xfId="1082" xr:uid="{1959038A-2E75-4C85-BA3A-A61BC2788F77}"/>
    <cellStyle name="40% - Accent1 2 2 3" xfId="628" xr:uid="{00000000-0005-0000-0000-000065000000}"/>
    <cellStyle name="40% - Accent1 2 2 3 2" xfId="3726" xr:uid="{180F9097-3053-47F2-8169-8D8C3B875D82}"/>
    <cellStyle name="40% - Accent1 2 2 3 2 2" xfId="7944" xr:uid="{E6610DD8-DCDF-4F74-9A5A-58F05C539D24}"/>
    <cellStyle name="40% - Accent1 2 2 3 3" xfId="5799" xr:uid="{F9BCE28D-02AA-4D54-9A28-681437B7C8C8}"/>
    <cellStyle name="40% - Accent1 2 2 3 4" xfId="1495" xr:uid="{83C133FE-0FCA-42B5-8F88-22B82C5F27FE}"/>
    <cellStyle name="40% - Accent1 2 2 4" xfId="1910" xr:uid="{C93ABBFA-A076-408B-8DEE-DF4B7B30AE11}"/>
    <cellStyle name="40% - Accent1 2 2 4 2" xfId="4139" xr:uid="{AE1AC92B-F72E-429E-840C-13310CA6A0CE}"/>
    <cellStyle name="40% - Accent1 2 2 4 2 2" xfId="8357" xr:uid="{F94E92EE-49DF-438C-ABE5-40E0339E849B}"/>
    <cellStyle name="40% - Accent1 2 2 4 3" xfId="6212" xr:uid="{F8271B6A-8F38-4DE7-BB2F-3F17CD0A36B0}"/>
    <cellStyle name="40% - Accent1 2 2 5" xfId="2323" xr:uid="{751873E5-0A3E-4FC1-99AE-DB43F96FE26A}"/>
    <cellStyle name="40% - Accent1 2 2 5 2" xfId="4552" xr:uid="{B556A76B-BD39-420C-8ADA-E273A37166CF}"/>
    <cellStyle name="40% - Accent1 2 2 5 2 2" xfId="8770" xr:uid="{7615CA9D-A3F9-41BE-AD95-AC8C3174B7F8}"/>
    <cellStyle name="40% - Accent1 2 2 5 3" xfId="6625" xr:uid="{4E8BACD1-9AC5-4E71-89B0-067E0825E5F1}"/>
    <cellStyle name="40% - Accent1 2 2 6" xfId="2736" xr:uid="{7BB559A1-0E21-4846-BEDB-FA085A6B48EC}"/>
    <cellStyle name="40% - Accent1 2 2 6 2" xfId="4965" xr:uid="{5B6D40B4-282A-466E-89AA-EBE5368288AC}"/>
    <cellStyle name="40% - Accent1 2 2 6 2 2" xfId="9183" xr:uid="{C98E3AD0-380B-46F1-961D-1432D05C9898}"/>
    <cellStyle name="40% - Accent1 2 2 6 3" xfId="7038" xr:uid="{9EDA9DA8-6B7F-4441-88B2-DC6C04FDAAA7}"/>
    <cellStyle name="40% - Accent1 2 2 7" xfId="3149" xr:uid="{D505D999-421D-4DAC-AE6B-0573BE1EA750}"/>
    <cellStyle name="40% - Accent1 2 2 7 2" xfId="7451" xr:uid="{12FBAC6E-08E8-44E3-8F70-89546690049B}"/>
    <cellStyle name="40% - Accent1 2 2 8" xfId="5385" xr:uid="{EB013DE7-01D5-4E80-8734-9DDA77558943}"/>
    <cellStyle name="40% - Accent1 2 2 9" xfId="1081" xr:uid="{67BBB6F1-9A77-495B-A7DB-46FB63AF1F17}"/>
    <cellStyle name="40% - Accent1 2 3" xfId="53" xr:uid="{00000000-0005-0000-0000-000066000000}"/>
    <cellStyle name="40% - Accent1 2 3 2" xfId="630" xr:uid="{00000000-0005-0000-0000-000067000000}"/>
    <cellStyle name="40% - Accent1 2 3 2 2" xfId="3728" xr:uid="{8F7AD3F3-1673-4C79-869C-F07F3E20E205}"/>
    <cellStyle name="40% - Accent1 2 3 2 2 2" xfId="7946" xr:uid="{D4E7D574-1AFA-427F-B753-C9E3AF962DA4}"/>
    <cellStyle name="40% - Accent1 2 3 2 3" xfId="5801" xr:uid="{361F9CC0-3557-44C1-8718-09B019104669}"/>
    <cellStyle name="40% - Accent1 2 3 2 4" xfId="1497" xr:uid="{09B82DB7-D82A-499D-AD7C-543764873988}"/>
    <cellStyle name="40% - Accent1 2 3 3" xfId="1912" xr:uid="{5991FB38-7AFB-4A6A-8E84-933C9F7DF40A}"/>
    <cellStyle name="40% - Accent1 2 3 3 2" xfId="4141" xr:uid="{E71F9A27-B298-41B1-AACB-C37F53FCE79D}"/>
    <cellStyle name="40% - Accent1 2 3 3 2 2" xfId="8359" xr:uid="{8BC9F2CA-07CF-4BD7-B2F3-4CA0828B61F4}"/>
    <cellStyle name="40% - Accent1 2 3 3 3" xfId="6214" xr:uid="{D28DAA7E-8079-4813-8464-264901137706}"/>
    <cellStyle name="40% - Accent1 2 3 4" xfId="2325" xr:uid="{71F7B221-5BD4-4652-8D07-E13CFF4BE77A}"/>
    <cellStyle name="40% - Accent1 2 3 4 2" xfId="4554" xr:uid="{5DCE2F17-AE49-4D8D-82F2-D08B2106A151}"/>
    <cellStyle name="40% - Accent1 2 3 4 2 2" xfId="8772" xr:uid="{6B4409D2-A740-41C2-87D8-D3422B43B0FB}"/>
    <cellStyle name="40% - Accent1 2 3 4 3" xfId="6627" xr:uid="{71470D98-02FA-4F4B-BA9D-1C0FDC5C4AC9}"/>
    <cellStyle name="40% - Accent1 2 3 5" xfId="2738" xr:uid="{EE5BFE38-EF45-470D-8EB5-01A674D425F4}"/>
    <cellStyle name="40% - Accent1 2 3 5 2" xfId="4967" xr:uid="{0B0BF4A0-9B02-490F-9457-C258CD86A21B}"/>
    <cellStyle name="40% - Accent1 2 3 5 2 2" xfId="9185" xr:uid="{71666611-ACF9-4C6B-9B35-A9DF4C549439}"/>
    <cellStyle name="40% - Accent1 2 3 5 3" xfId="7040" xr:uid="{150B7D7F-05EA-444A-87E2-CD45D0463B7A}"/>
    <cellStyle name="40% - Accent1 2 3 6" xfId="3151" xr:uid="{C6907958-80CA-4BD9-84A0-CB6658A7AF78}"/>
    <cellStyle name="40% - Accent1 2 3 6 2" xfId="7453" xr:uid="{8441EF35-3B40-4BDA-9E92-D7D8A81FCB8B}"/>
    <cellStyle name="40% - Accent1 2 3 7" xfId="5387" xr:uid="{75881ECB-9A6A-4EB7-8009-40A2D754534B}"/>
    <cellStyle name="40% - Accent1 2 3 8" xfId="1083" xr:uid="{317A068D-FEAC-4A52-9900-555AB4F92886}"/>
    <cellStyle name="40% - Accent1 2 4" xfId="627" xr:uid="{00000000-0005-0000-0000-000068000000}"/>
    <cellStyle name="40% - Accent1 2 4 2" xfId="3725" xr:uid="{867F1125-5DAE-4018-A7BF-7DF860396945}"/>
    <cellStyle name="40% - Accent1 2 4 2 2" xfId="7943" xr:uid="{CEE7FA62-3992-46A8-B8AA-B4BC0EF92222}"/>
    <cellStyle name="40% - Accent1 2 4 3" xfId="5798" xr:uid="{B817F199-6049-4CE6-B314-EC5C4561D7B9}"/>
    <cellStyle name="40% - Accent1 2 4 4" xfId="1494" xr:uid="{BF0DD458-F849-4074-B3D3-C976ECC6FF4A}"/>
    <cellStyle name="40% - Accent1 2 5" xfId="1909" xr:uid="{7D2FE15C-5C2A-4A35-9D74-1E3E8DDB798C}"/>
    <cellStyle name="40% - Accent1 2 5 2" xfId="4138" xr:uid="{03480672-B718-44FA-82D2-4285AE235226}"/>
    <cellStyle name="40% - Accent1 2 5 2 2" xfId="8356" xr:uid="{52E15673-515E-46E6-A3DA-A697EC82049D}"/>
    <cellStyle name="40% - Accent1 2 5 3" xfId="6211" xr:uid="{FC0E6138-9DE7-4284-9323-CF036F45AC9C}"/>
    <cellStyle name="40% - Accent1 2 6" xfId="2322" xr:uid="{B54959A1-0659-470D-9B80-0FE72AFF608F}"/>
    <cellStyle name="40% - Accent1 2 6 2" xfId="4551" xr:uid="{3ADB52F4-917F-40C8-A55E-B31273E5A58A}"/>
    <cellStyle name="40% - Accent1 2 6 2 2" xfId="8769" xr:uid="{3A57405F-F610-47FE-9983-3EE44BE6CA22}"/>
    <cellStyle name="40% - Accent1 2 6 3" xfId="6624" xr:uid="{A4273B38-F48A-4AAD-BABC-9A4CB8D9635E}"/>
    <cellStyle name="40% - Accent1 2 7" xfId="2735" xr:uid="{4767206F-EA36-4057-B712-7C2E9D09F334}"/>
    <cellStyle name="40% - Accent1 2 7 2" xfId="4964" xr:uid="{5E429B79-097E-4E00-9D6B-6C29FD35A3B8}"/>
    <cellStyle name="40% - Accent1 2 7 2 2" xfId="9182" xr:uid="{9123DF4B-8AF0-436D-A003-DCE8D10CDAE1}"/>
    <cellStyle name="40% - Accent1 2 7 3" xfId="7037" xr:uid="{80B15AAF-8A24-4BDA-ACC0-1CDBE2562645}"/>
    <cellStyle name="40% - Accent1 2 8" xfId="3148" xr:uid="{EB63358A-E583-4C81-8706-16C3379B121C}"/>
    <cellStyle name="40% - Accent1 2 8 2" xfId="7450" xr:uid="{AB878A1F-4CA7-42DF-9271-63B637053630}"/>
    <cellStyle name="40% - Accent1 2 9" xfId="5384" xr:uid="{B77DBB01-1A17-40BE-8398-31881128C21D}"/>
    <cellStyle name="40% - Accent1 3" xfId="54" xr:uid="{00000000-0005-0000-0000-000069000000}"/>
    <cellStyle name="40% - Accent1 3 2" xfId="55" xr:uid="{00000000-0005-0000-0000-00006A000000}"/>
    <cellStyle name="40% - Accent1 3 2 2" xfId="632" xr:uid="{00000000-0005-0000-0000-00006B000000}"/>
    <cellStyle name="40% - Accent1 3 2 2 2" xfId="3730" xr:uid="{8D40D191-D2FD-4775-B729-CE72AD821B25}"/>
    <cellStyle name="40% - Accent1 3 2 2 2 2" xfId="7948" xr:uid="{C7799643-E2AB-45A4-B804-6BD4D7E35468}"/>
    <cellStyle name="40% - Accent1 3 2 2 3" xfId="5803" xr:uid="{FCACB90A-EF74-4328-90BB-D5CDAA094ABF}"/>
    <cellStyle name="40% - Accent1 3 2 2 4" xfId="1499" xr:uid="{80896C82-95B9-4BDF-8635-DF8AC86FA2E4}"/>
    <cellStyle name="40% - Accent1 3 2 3" xfId="1914" xr:uid="{6B7BE172-868F-4F2F-B3CB-AE253C31DBC6}"/>
    <cellStyle name="40% - Accent1 3 2 3 2" xfId="4143" xr:uid="{7DC7E188-81C3-4346-82D9-EAC5CA8E3AB3}"/>
    <cellStyle name="40% - Accent1 3 2 3 2 2" xfId="8361" xr:uid="{D27AD209-B304-4481-AAA2-47BBB302C7DF}"/>
    <cellStyle name="40% - Accent1 3 2 3 3" xfId="6216" xr:uid="{EC3AB548-AFEB-4A43-87F9-A3B6C27CB4A9}"/>
    <cellStyle name="40% - Accent1 3 2 4" xfId="2327" xr:uid="{308ADD06-9C34-40A6-BCC5-1FA286BBC112}"/>
    <cellStyle name="40% - Accent1 3 2 4 2" xfId="4556" xr:uid="{931E09D5-665A-4D9C-8C27-57F80E0D6464}"/>
    <cellStyle name="40% - Accent1 3 2 4 2 2" xfId="8774" xr:uid="{981A096C-0C5C-42E3-B38E-796B48F32677}"/>
    <cellStyle name="40% - Accent1 3 2 4 3" xfId="6629" xr:uid="{45E26B35-043C-40F6-9404-D626BB928228}"/>
    <cellStyle name="40% - Accent1 3 2 5" xfId="2740" xr:uid="{98CF6722-04F9-4C78-9F76-6C86B9710E51}"/>
    <cellStyle name="40% - Accent1 3 2 5 2" xfId="4969" xr:uid="{B3D83913-04AA-4687-98AC-C3E3B3E01FA8}"/>
    <cellStyle name="40% - Accent1 3 2 5 2 2" xfId="9187" xr:uid="{A402A126-BD46-496C-87B1-BAE99DA1F674}"/>
    <cellStyle name="40% - Accent1 3 2 5 3" xfId="7042" xr:uid="{0139224E-7E14-4F19-88EF-824F2DE52F0F}"/>
    <cellStyle name="40% - Accent1 3 2 6" xfId="3153" xr:uid="{46368980-BB70-4929-AAEF-C920DD138611}"/>
    <cellStyle name="40% - Accent1 3 2 6 2" xfId="7455" xr:uid="{CA4AE83C-D7EF-4997-8DEB-68EB3444FAB0}"/>
    <cellStyle name="40% - Accent1 3 2 7" xfId="5389" xr:uid="{72ADD962-99C3-42A6-98E4-E261B57D4E3F}"/>
    <cellStyle name="40% - Accent1 3 2 8" xfId="1085" xr:uid="{0A848AB2-A4B5-4236-A6F5-C01AD6D7B6C5}"/>
    <cellStyle name="40% - Accent1 3 3" xfId="631" xr:uid="{00000000-0005-0000-0000-00006C000000}"/>
    <cellStyle name="40% - Accent1 3 3 2" xfId="3729" xr:uid="{AE27CFAE-3C78-42CB-ACA5-5FEE74EB1D1E}"/>
    <cellStyle name="40% - Accent1 3 3 2 2" xfId="7947" xr:uid="{323E4973-00FD-4239-A2FC-69A110F17627}"/>
    <cellStyle name="40% - Accent1 3 3 3" xfId="5802" xr:uid="{4421FD99-B0F6-4F6D-9F52-1798E5E41387}"/>
    <cellStyle name="40% - Accent1 3 3 4" xfId="1498" xr:uid="{7E1E7687-BD5B-4703-B572-77BD3F1F4F59}"/>
    <cellStyle name="40% - Accent1 3 4" xfId="1913" xr:uid="{1DE302A2-8BAC-4AA7-B544-7B94E399E536}"/>
    <cellStyle name="40% - Accent1 3 4 2" xfId="4142" xr:uid="{D8216EB0-26FE-4370-A8BF-62A7F23F0FA1}"/>
    <cellStyle name="40% - Accent1 3 4 2 2" xfId="8360" xr:uid="{B0C9D7AE-0C63-43CD-BFB6-5EB45DD07DFF}"/>
    <cellStyle name="40% - Accent1 3 4 3" xfId="6215" xr:uid="{2CE106B4-51EB-4E8F-AF18-DB1D18168402}"/>
    <cellStyle name="40% - Accent1 3 5" xfId="2326" xr:uid="{998335B6-E10C-4731-AC5C-0A9F68681583}"/>
    <cellStyle name="40% - Accent1 3 5 2" xfId="4555" xr:uid="{EC1A7113-5F21-42B8-A177-9C1D4EC7117D}"/>
    <cellStyle name="40% - Accent1 3 5 2 2" xfId="8773" xr:uid="{469902A8-3BF3-4356-8A3A-6897B594A96D}"/>
    <cellStyle name="40% - Accent1 3 5 3" xfId="6628" xr:uid="{73CB8513-7141-4494-AEA6-2E66037F5B45}"/>
    <cellStyle name="40% - Accent1 3 6" xfId="2739" xr:uid="{858B8F7F-C2E3-40D9-89C5-BB89ECEB8A79}"/>
    <cellStyle name="40% - Accent1 3 6 2" xfId="4968" xr:uid="{5C48D0AF-4F16-4064-8910-A3F7AE4C2A33}"/>
    <cellStyle name="40% - Accent1 3 6 2 2" xfId="9186" xr:uid="{DC6EE5FA-934C-4154-BCCF-29477E3125DA}"/>
    <cellStyle name="40% - Accent1 3 6 3" xfId="7041" xr:uid="{7E5D567C-B9F6-4878-A6F6-B040194E528D}"/>
    <cellStyle name="40% - Accent1 3 7" xfId="3152" xr:uid="{11A23671-988E-431A-B195-AFF6996B70D9}"/>
    <cellStyle name="40% - Accent1 3 7 2" xfId="7454" xr:uid="{5CDFE948-6259-4EEF-9015-F2703C8E48C3}"/>
    <cellStyle name="40% - Accent1 3 8" xfId="5388" xr:uid="{4C51EDD3-96D7-462B-B949-5599ECBE3FCE}"/>
    <cellStyle name="40% - Accent1 3 9" xfId="1084" xr:uid="{134C6E90-243D-4629-9FC2-0AB28226D078}"/>
    <cellStyle name="40% - Accent1 4" xfId="56" xr:uid="{00000000-0005-0000-0000-00006D000000}"/>
    <cellStyle name="40% - Accent1 4 2" xfId="633" xr:uid="{00000000-0005-0000-0000-00006E000000}"/>
    <cellStyle name="40% - Accent1 4 2 2" xfId="3731" xr:uid="{35A794F6-FCCB-4F4D-BD7A-6CD58C3C56E0}"/>
    <cellStyle name="40% - Accent1 4 2 2 2" xfId="7949" xr:uid="{87A9D34B-DD76-4F39-ADA7-03323C96AFFF}"/>
    <cellStyle name="40% - Accent1 4 2 3" xfId="5804" xr:uid="{EBE24619-DB2E-446B-B548-80D6CC539948}"/>
    <cellStyle name="40% - Accent1 4 2 4" xfId="1500" xr:uid="{AF53C102-828B-4E4A-9227-F46551729697}"/>
    <cellStyle name="40% - Accent1 4 3" xfId="1915" xr:uid="{2E3FF58D-FE11-4305-9D2F-E2AA5CCF76F2}"/>
    <cellStyle name="40% - Accent1 4 3 2" xfId="4144" xr:uid="{01F90CEB-56D3-44DB-BAD9-A845729C8A52}"/>
    <cellStyle name="40% - Accent1 4 3 2 2" xfId="8362" xr:uid="{5EB2315F-8F37-427F-8CB8-52C9659B8560}"/>
    <cellStyle name="40% - Accent1 4 3 3" xfId="6217" xr:uid="{B0AD9F88-0E6F-4AFD-A148-2C0733763FB4}"/>
    <cellStyle name="40% - Accent1 4 4" xfId="2328" xr:uid="{AFD2AEE3-CF7D-4152-85BF-CB8056808E57}"/>
    <cellStyle name="40% - Accent1 4 4 2" xfId="4557" xr:uid="{A3D59F9C-FD09-4C9A-8B71-773C697C68D4}"/>
    <cellStyle name="40% - Accent1 4 4 2 2" xfId="8775" xr:uid="{68D2D37F-9FD5-478B-ABA2-E618CE46402C}"/>
    <cellStyle name="40% - Accent1 4 4 3" xfId="6630" xr:uid="{9569B422-A352-479C-9905-CC3AC4EBB61E}"/>
    <cellStyle name="40% - Accent1 4 5" xfId="2741" xr:uid="{C017AA1A-E3CF-4896-9D3E-E662E6996DC7}"/>
    <cellStyle name="40% - Accent1 4 5 2" xfId="4970" xr:uid="{D2544441-0EBC-4498-AF3C-0845D8464D6E}"/>
    <cellStyle name="40% - Accent1 4 5 2 2" xfId="9188" xr:uid="{DFEC24BF-7490-4ED6-ABB4-E3D58B48364A}"/>
    <cellStyle name="40% - Accent1 4 5 3" xfId="7043" xr:uid="{F388955D-AA71-4AA2-9760-2366C5AEED6A}"/>
    <cellStyle name="40% - Accent1 4 6" xfId="3154" xr:uid="{B9D616F7-4901-49BC-89C2-BD539DE64DCE}"/>
    <cellStyle name="40% - Accent1 4 6 2" xfId="7456" xr:uid="{BF678378-8269-45A5-ADFA-2502A7C91572}"/>
    <cellStyle name="40% - Accent1 4 7" xfId="5390" xr:uid="{B75D94AF-CBB6-4657-A0EB-734085206AAD}"/>
    <cellStyle name="40% - Accent1 4 8" xfId="1086" xr:uid="{7D3CACA8-A366-40B4-9AF1-2D8113A18940}"/>
    <cellStyle name="40% - Accent1 5" xfId="626" xr:uid="{00000000-0005-0000-0000-00006F000000}"/>
    <cellStyle name="40% - Accent1 5 2" xfId="3724" xr:uid="{C9A9045A-3172-403E-AF91-A910C4801CA7}"/>
    <cellStyle name="40% - Accent1 5 2 2" xfId="7942" xr:uid="{EA75BEF3-5C93-47D0-92E6-4706409077DB}"/>
    <cellStyle name="40% - Accent1 5 3" xfId="5797" xr:uid="{178BC83A-AAA3-4454-AE71-C3940277071B}"/>
    <cellStyle name="40% - Accent1 5 4" xfId="1493" xr:uid="{3AE3273E-1A8D-4D85-8230-8B460172C2EF}"/>
    <cellStyle name="40% - Accent1 6" xfId="1908" xr:uid="{F127448F-A023-40A8-BA42-4AD65BC4D82F}"/>
    <cellStyle name="40% - Accent1 6 2" xfId="4137" xr:uid="{3AE43E16-7C02-4242-B9AA-6598B55337E2}"/>
    <cellStyle name="40% - Accent1 6 2 2" xfId="8355" xr:uid="{8F54AB0F-260F-4C01-8AA9-BD8F03575B8A}"/>
    <cellStyle name="40% - Accent1 6 3" xfId="6210" xr:uid="{80E3D8CB-30AA-48A1-942E-8FFE0FAA60A7}"/>
    <cellStyle name="40% - Accent1 7" xfId="2321" xr:uid="{2A76CA50-A4F5-442C-80B2-6509ECCD4CD5}"/>
    <cellStyle name="40% - Accent1 7 2" xfId="4550" xr:uid="{A62EEF10-5A1F-4B48-B89C-649FEE096CCB}"/>
    <cellStyle name="40% - Accent1 7 2 2" xfId="8768" xr:uid="{B2FD9E8B-EF4F-4571-A83A-1682B775D0A5}"/>
    <cellStyle name="40% - Accent1 7 3" xfId="6623" xr:uid="{03FE4867-CEEA-416C-86BE-2D0034361593}"/>
    <cellStyle name="40% - Accent1 8" xfId="2734" xr:uid="{8F07A8A4-A76E-4707-B250-21BFB069C7AA}"/>
    <cellStyle name="40% - Accent1 8 2" xfId="4963" xr:uid="{C380D694-5EBD-4E84-ACCD-7DB9DDB2D962}"/>
    <cellStyle name="40% - Accent1 8 2 2" xfId="9181" xr:uid="{D8752526-C080-46E0-A216-A2F57EEA4C68}"/>
    <cellStyle name="40% - Accent1 8 3" xfId="7036" xr:uid="{A051B9A2-FA30-450C-93AD-FC24F7497A2A}"/>
    <cellStyle name="40% - Accent1 9" xfId="3147" xr:uid="{714F8056-1DC3-46E1-ACF6-01A440DEC6C1}"/>
    <cellStyle name="40% - Accent1 9 2" xfId="7449" xr:uid="{2A610BC2-DAD0-4DBA-AC88-49F0445BCA76}"/>
    <cellStyle name="40% - Accent2" xfId="57" builtinId="35" customBuiltin="1"/>
    <cellStyle name="40% - Accent2 10" xfId="5391" xr:uid="{8A5F92E9-3184-427E-A090-B8C541D7DBE2}"/>
    <cellStyle name="40% - Accent2 11" xfId="1087" xr:uid="{36DEC98F-20A3-4611-805D-D1C526838E66}"/>
    <cellStyle name="40% - Accent2 2" xfId="58" xr:uid="{00000000-0005-0000-0000-000071000000}"/>
    <cellStyle name="40% - Accent2 2 10" xfId="1088" xr:uid="{C40D0E1C-4D6C-48FA-9C6C-031238E9D698}"/>
    <cellStyle name="40% - Accent2 2 2" xfId="59" xr:uid="{00000000-0005-0000-0000-000072000000}"/>
    <cellStyle name="40% - Accent2 2 2 2" xfId="60" xr:uid="{00000000-0005-0000-0000-000073000000}"/>
    <cellStyle name="40% - Accent2 2 2 2 2" xfId="637" xr:uid="{00000000-0005-0000-0000-000074000000}"/>
    <cellStyle name="40% - Accent2 2 2 2 2 2" xfId="3735" xr:uid="{C6246956-BAED-4843-A6A9-E0A6839B6635}"/>
    <cellStyle name="40% - Accent2 2 2 2 2 2 2" xfId="7953" xr:uid="{C295AD52-D944-4DF4-BF73-5D766637386B}"/>
    <cellStyle name="40% - Accent2 2 2 2 2 3" xfId="5808" xr:uid="{FE024539-9673-4CB0-A9D6-5AEEF30B59A7}"/>
    <cellStyle name="40% - Accent2 2 2 2 2 4" xfId="1504" xr:uid="{865A89CE-583A-4F17-9832-7854434D5B14}"/>
    <cellStyle name="40% - Accent2 2 2 2 3" xfId="1919" xr:uid="{0986255A-B08A-4C08-93F4-91F9B0DCD435}"/>
    <cellStyle name="40% - Accent2 2 2 2 3 2" xfId="4148" xr:uid="{1277F6E1-AE77-4994-9F5E-7AD7F30B7BCB}"/>
    <cellStyle name="40% - Accent2 2 2 2 3 2 2" xfId="8366" xr:uid="{2B798A01-24E4-4534-A9B6-8B1E681F2954}"/>
    <cellStyle name="40% - Accent2 2 2 2 3 3" xfId="6221" xr:uid="{BA200071-83FC-431F-A004-FED0325A7E58}"/>
    <cellStyle name="40% - Accent2 2 2 2 4" xfId="2332" xr:uid="{E4633EEA-095D-4246-A7E5-AD6456D2B4C1}"/>
    <cellStyle name="40% - Accent2 2 2 2 4 2" xfId="4561" xr:uid="{07280461-73D8-476B-B0F4-DD4B1D2741FC}"/>
    <cellStyle name="40% - Accent2 2 2 2 4 2 2" xfId="8779" xr:uid="{31A2F74A-47DE-4213-95D8-14E5967A8198}"/>
    <cellStyle name="40% - Accent2 2 2 2 4 3" xfId="6634" xr:uid="{FB4F00E9-05C9-4CE6-AB3C-A0D5F2A1ECA6}"/>
    <cellStyle name="40% - Accent2 2 2 2 5" xfId="2745" xr:uid="{11DADE8C-4832-4CB8-B9AD-743550CDF054}"/>
    <cellStyle name="40% - Accent2 2 2 2 5 2" xfId="4974" xr:uid="{2ECBF85C-DDD8-467A-8250-B41A8B913875}"/>
    <cellStyle name="40% - Accent2 2 2 2 5 2 2" xfId="9192" xr:uid="{BC00440C-54D6-43FB-8539-5F11E2A076AD}"/>
    <cellStyle name="40% - Accent2 2 2 2 5 3" xfId="7047" xr:uid="{D0AA09E0-EB27-4AB9-B87B-10A8E48584DA}"/>
    <cellStyle name="40% - Accent2 2 2 2 6" xfId="3158" xr:uid="{A2007345-1BCC-4E30-964B-E0014A8864CD}"/>
    <cellStyle name="40% - Accent2 2 2 2 6 2" xfId="7460" xr:uid="{E91988FE-FE1E-4098-A8C1-C5B06566EF81}"/>
    <cellStyle name="40% - Accent2 2 2 2 7" xfId="5394" xr:uid="{8DF9A3AF-C4F5-44C2-9532-7B1B08DF0B29}"/>
    <cellStyle name="40% - Accent2 2 2 2 8" xfId="1090" xr:uid="{D5F6AC43-B03C-466C-AE99-B10EEC84E16B}"/>
    <cellStyle name="40% - Accent2 2 2 3" xfId="636" xr:uid="{00000000-0005-0000-0000-000075000000}"/>
    <cellStyle name="40% - Accent2 2 2 3 2" xfId="3734" xr:uid="{39F54764-8CE0-4D01-93E3-F6E7D9D367AA}"/>
    <cellStyle name="40% - Accent2 2 2 3 2 2" xfId="7952" xr:uid="{380A312E-F9ED-4334-A68E-36A1D1A72746}"/>
    <cellStyle name="40% - Accent2 2 2 3 3" xfId="5807" xr:uid="{AB566081-4356-4106-A9EA-30C2DB5DD2CD}"/>
    <cellStyle name="40% - Accent2 2 2 3 4" xfId="1503" xr:uid="{C04CEE4B-1482-4C3A-B536-C83BA02DAB39}"/>
    <cellStyle name="40% - Accent2 2 2 4" xfId="1918" xr:uid="{24C2F33D-0906-42DD-9295-92D3C3FE1F79}"/>
    <cellStyle name="40% - Accent2 2 2 4 2" xfId="4147" xr:uid="{5FDB9F9A-CBB6-4A48-8831-36EBF5688F51}"/>
    <cellStyle name="40% - Accent2 2 2 4 2 2" xfId="8365" xr:uid="{3B63D1BC-FC2D-4ACA-A3BD-8C33DC372BB7}"/>
    <cellStyle name="40% - Accent2 2 2 4 3" xfId="6220" xr:uid="{E7F5A2DE-E332-4F7B-BE65-305788E45020}"/>
    <cellStyle name="40% - Accent2 2 2 5" xfId="2331" xr:uid="{78CB5B10-0E7D-49FA-8AA1-39BA53049F67}"/>
    <cellStyle name="40% - Accent2 2 2 5 2" xfId="4560" xr:uid="{68B4F0AF-6434-4E1B-AA86-322BA81F024A}"/>
    <cellStyle name="40% - Accent2 2 2 5 2 2" xfId="8778" xr:uid="{1459F98F-793C-4046-8096-8B268C4A7C14}"/>
    <cellStyle name="40% - Accent2 2 2 5 3" xfId="6633" xr:uid="{F6FA9556-FE54-41B6-829E-D4FC8C8B5F04}"/>
    <cellStyle name="40% - Accent2 2 2 6" xfId="2744" xr:uid="{61007C84-7DF3-42F0-9EEE-DD0998D93605}"/>
    <cellStyle name="40% - Accent2 2 2 6 2" xfId="4973" xr:uid="{31826BF4-9DA8-4A37-9E47-309123E9EB28}"/>
    <cellStyle name="40% - Accent2 2 2 6 2 2" xfId="9191" xr:uid="{4EE9B1FF-567A-4D86-AE2E-92B319564443}"/>
    <cellStyle name="40% - Accent2 2 2 6 3" xfId="7046" xr:uid="{6C92C742-28B4-4382-B2EB-25A2DD1A6F05}"/>
    <cellStyle name="40% - Accent2 2 2 7" xfId="3157" xr:uid="{3BA702CB-2243-4570-BE2F-1772BD72F4A3}"/>
    <cellStyle name="40% - Accent2 2 2 7 2" xfId="7459" xr:uid="{225AEC2B-5E2B-4065-8F32-E68A405BE75B}"/>
    <cellStyle name="40% - Accent2 2 2 8" xfId="5393" xr:uid="{6C56E122-A6BC-4AFB-A12A-0280F70EB36C}"/>
    <cellStyle name="40% - Accent2 2 2 9" xfId="1089" xr:uid="{B6CAFD8D-BE00-44C6-BA46-3E3126B72197}"/>
    <cellStyle name="40% - Accent2 2 3" xfId="61" xr:uid="{00000000-0005-0000-0000-000076000000}"/>
    <cellStyle name="40% - Accent2 2 3 2" xfId="638" xr:uid="{00000000-0005-0000-0000-000077000000}"/>
    <cellStyle name="40% - Accent2 2 3 2 2" xfId="3736" xr:uid="{5D280C54-5851-4AEB-A226-D0C7CFFC1385}"/>
    <cellStyle name="40% - Accent2 2 3 2 2 2" xfId="7954" xr:uid="{832E41B2-45F2-4E79-A29F-70B63FB49B29}"/>
    <cellStyle name="40% - Accent2 2 3 2 3" xfId="5809" xr:uid="{95BDEBDA-104F-4682-8790-46E7353A7FB2}"/>
    <cellStyle name="40% - Accent2 2 3 2 4" xfId="1505" xr:uid="{B9703C1B-053D-4C56-B97A-E33C14D158F1}"/>
    <cellStyle name="40% - Accent2 2 3 3" xfId="1920" xr:uid="{E5918F7C-194B-477B-B4B5-159732383580}"/>
    <cellStyle name="40% - Accent2 2 3 3 2" xfId="4149" xr:uid="{D5B88B56-DF03-4A32-BDE4-772C3E9F531C}"/>
    <cellStyle name="40% - Accent2 2 3 3 2 2" xfId="8367" xr:uid="{D75834B4-9D9B-4E77-ABB6-F358A323C3AF}"/>
    <cellStyle name="40% - Accent2 2 3 3 3" xfId="6222" xr:uid="{0635AABD-EBF0-44EF-91CD-65BBBEB21F10}"/>
    <cellStyle name="40% - Accent2 2 3 4" xfId="2333" xr:uid="{1D7CB911-FE5E-419C-B309-AD3FB1C22E7E}"/>
    <cellStyle name="40% - Accent2 2 3 4 2" xfId="4562" xr:uid="{3337E51B-8063-484E-B8B1-CAFE88C44AEA}"/>
    <cellStyle name="40% - Accent2 2 3 4 2 2" xfId="8780" xr:uid="{35307536-182B-4111-BFF1-E89EA267CB43}"/>
    <cellStyle name="40% - Accent2 2 3 4 3" xfId="6635" xr:uid="{7F34F210-0700-47B5-89B6-6A3F2D875463}"/>
    <cellStyle name="40% - Accent2 2 3 5" xfId="2746" xr:uid="{E4B49D35-2B8A-4C4A-8F35-80B757D3DF6C}"/>
    <cellStyle name="40% - Accent2 2 3 5 2" xfId="4975" xr:uid="{2AF2E192-D292-4C21-8D22-D165DB0CD265}"/>
    <cellStyle name="40% - Accent2 2 3 5 2 2" xfId="9193" xr:uid="{4C2E3F12-B008-43CE-8ED6-5A889A60EC90}"/>
    <cellStyle name="40% - Accent2 2 3 5 3" xfId="7048" xr:uid="{7D2B5F4D-22F6-43BA-9972-A44C0006F786}"/>
    <cellStyle name="40% - Accent2 2 3 6" xfId="3159" xr:uid="{EDF6B290-520E-4B36-A120-67A948906FDF}"/>
    <cellStyle name="40% - Accent2 2 3 6 2" xfId="7461" xr:uid="{35E60716-703B-454A-A163-C73584C3544B}"/>
    <cellStyle name="40% - Accent2 2 3 7" xfId="5395" xr:uid="{CC143F47-560C-41CA-A1FB-9CB8DCF24D36}"/>
    <cellStyle name="40% - Accent2 2 3 8" xfId="1091" xr:uid="{71ADA20E-18F2-4C7C-8527-430D58DC74D9}"/>
    <cellStyle name="40% - Accent2 2 4" xfId="635" xr:uid="{00000000-0005-0000-0000-000078000000}"/>
    <cellStyle name="40% - Accent2 2 4 2" xfId="3733" xr:uid="{5434075A-8A3C-4AA1-B804-A59F4C49212C}"/>
    <cellStyle name="40% - Accent2 2 4 2 2" xfId="7951" xr:uid="{23286BF7-5CFC-477F-92F6-F0914BFB6483}"/>
    <cellStyle name="40% - Accent2 2 4 3" xfId="5806" xr:uid="{E957DB5E-D0F1-4038-8C34-D0EB573D62F5}"/>
    <cellStyle name="40% - Accent2 2 4 4" xfId="1502" xr:uid="{84E21F5E-C4A9-49F4-A669-5D35AF2D9AA0}"/>
    <cellStyle name="40% - Accent2 2 5" xfId="1917" xr:uid="{FA5A42E0-E082-4587-B373-51A4E3E82501}"/>
    <cellStyle name="40% - Accent2 2 5 2" xfId="4146" xr:uid="{540898F2-C51F-486E-912A-BF10048BFB7A}"/>
    <cellStyle name="40% - Accent2 2 5 2 2" xfId="8364" xr:uid="{2F7489CD-DAEE-40F7-9A56-13186A6C9674}"/>
    <cellStyle name="40% - Accent2 2 5 3" xfId="6219" xr:uid="{AB4E9645-4345-40C2-BB75-718A70EE8705}"/>
    <cellStyle name="40% - Accent2 2 6" xfId="2330" xr:uid="{C47B69F6-CC79-4EE1-94AD-0A9E3F1E7E2F}"/>
    <cellStyle name="40% - Accent2 2 6 2" xfId="4559" xr:uid="{0CA5F7C7-E61D-4914-9ECF-2A16DB8F119A}"/>
    <cellStyle name="40% - Accent2 2 6 2 2" xfId="8777" xr:uid="{930B273B-C818-4553-B817-747FD751B25F}"/>
    <cellStyle name="40% - Accent2 2 6 3" xfId="6632" xr:uid="{815F3832-34CE-40A9-8E14-0F8252084920}"/>
    <cellStyle name="40% - Accent2 2 7" xfId="2743" xr:uid="{27B29FE4-C261-4130-9694-02F8317DB2CB}"/>
    <cellStyle name="40% - Accent2 2 7 2" xfId="4972" xr:uid="{329A7C7B-54BE-4CFD-B4BA-A8FA4841C22D}"/>
    <cellStyle name="40% - Accent2 2 7 2 2" xfId="9190" xr:uid="{C68CE9FC-9712-4EB4-B824-E2836134B1DF}"/>
    <cellStyle name="40% - Accent2 2 7 3" xfId="7045" xr:uid="{BD6DBCB9-30EC-45C5-8E81-CE4AC2F5169F}"/>
    <cellStyle name="40% - Accent2 2 8" xfId="3156" xr:uid="{604F802D-E8B5-4E66-9748-C1365AAD62B6}"/>
    <cellStyle name="40% - Accent2 2 8 2" xfId="7458" xr:uid="{01F6ABA1-8701-4AE1-A0B3-CF2325CC47D7}"/>
    <cellStyle name="40% - Accent2 2 9" xfId="5392" xr:uid="{F892F196-255B-406D-9EE6-ABF4FF010EA4}"/>
    <cellStyle name="40% - Accent2 3" xfId="62" xr:uid="{00000000-0005-0000-0000-000079000000}"/>
    <cellStyle name="40% - Accent2 3 2" xfId="63" xr:uid="{00000000-0005-0000-0000-00007A000000}"/>
    <cellStyle name="40% - Accent2 3 2 2" xfId="640" xr:uid="{00000000-0005-0000-0000-00007B000000}"/>
    <cellStyle name="40% - Accent2 3 2 2 2" xfId="3738" xr:uid="{C1522E2E-EA58-4E71-841E-CF3E3954ED78}"/>
    <cellStyle name="40% - Accent2 3 2 2 2 2" xfId="7956" xr:uid="{E8C5EAE2-354B-419B-876D-98389C2901CF}"/>
    <cellStyle name="40% - Accent2 3 2 2 3" xfId="5811" xr:uid="{9E351125-2541-4D70-8964-DEFEFD705D3A}"/>
    <cellStyle name="40% - Accent2 3 2 2 4" xfId="1507" xr:uid="{EDE36708-84BC-437B-A353-B18C1476BE4F}"/>
    <cellStyle name="40% - Accent2 3 2 3" xfId="1922" xr:uid="{07645183-6F32-407D-A8E0-D8A22A0C6A5F}"/>
    <cellStyle name="40% - Accent2 3 2 3 2" xfId="4151" xr:uid="{41E78D67-2EA6-422B-BA03-31897D179A0C}"/>
    <cellStyle name="40% - Accent2 3 2 3 2 2" xfId="8369" xr:uid="{EE09CD43-3DDA-437C-91DD-675467ABC9E4}"/>
    <cellStyle name="40% - Accent2 3 2 3 3" xfId="6224" xr:uid="{DE880DB5-D1AA-4E93-BAE5-E532C22F2CB0}"/>
    <cellStyle name="40% - Accent2 3 2 4" xfId="2335" xr:uid="{82514221-0DC5-415A-BBB3-6A3732A65EC3}"/>
    <cellStyle name="40% - Accent2 3 2 4 2" xfId="4564" xr:uid="{69907DAE-2A88-477E-92B1-D7A7B6820331}"/>
    <cellStyle name="40% - Accent2 3 2 4 2 2" xfId="8782" xr:uid="{5F0926FF-3F0C-467C-AA94-939DC72228DF}"/>
    <cellStyle name="40% - Accent2 3 2 4 3" xfId="6637" xr:uid="{313C25C1-FA3E-40B4-A21D-668909C68489}"/>
    <cellStyle name="40% - Accent2 3 2 5" xfId="2748" xr:uid="{646E6F3A-5F7A-4538-91C2-69E3ADBF38CB}"/>
    <cellStyle name="40% - Accent2 3 2 5 2" xfId="4977" xr:uid="{9416895B-FAC8-44AF-A1A3-449CA718A538}"/>
    <cellStyle name="40% - Accent2 3 2 5 2 2" xfId="9195" xr:uid="{0C088727-F3F2-4871-93A0-621807644818}"/>
    <cellStyle name="40% - Accent2 3 2 5 3" xfId="7050" xr:uid="{7F88896D-51A2-410E-96EF-919E73EDEF82}"/>
    <cellStyle name="40% - Accent2 3 2 6" xfId="3161" xr:uid="{5B732B94-DB77-4E7D-8533-E4887250DDCE}"/>
    <cellStyle name="40% - Accent2 3 2 6 2" xfId="7463" xr:uid="{3001EB6E-436C-44E2-AD3C-6B31F103DD4E}"/>
    <cellStyle name="40% - Accent2 3 2 7" xfId="5397" xr:uid="{E3AC7E05-ACA3-4C92-8CD5-0926EE80B054}"/>
    <cellStyle name="40% - Accent2 3 2 8" xfId="1093" xr:uid="{3DFF13C7-F5A1-4BF1-9236-21E4AB1EF0D5}"/>
    <cellStyle name="40% - Accent2 3 3" xfId="639" xr:uid="{00000000-0005-0000-0000-00007C000000}"/>
    <cellStyle name="40% - Accent2 3 3 2" xfId="3737" xr:uid="{39778FDF-48B4-44BC-A597-00E8FC7E28D0}"/>
    <cellStyle name="40% - Accent2 3 3 2 2" xfId="7955" xr:uid="{ECEC3B26-E8E5-4B90-86E8-F1644B2E39F1}"/>
    <cellStyle name="40% - Accent2 3 3 3" xfId="5810" xr:uid="{D89BDC8A-86A0-449E-A711-A4B17D4C5BDE}"/>
    <cellStyle name="40% - Accent2 3 3 4" xfId="1506" xr:uid="{3FC16914-F56E-4BE8-A829-926D57FCC6BB}"/>
    <cellStyle name="40% - Accent2 3 4" xfId="1921" xr:uid="{6DC28B59-690C-4954-955A-7F678935346E}"/>
    <cellStyle name="40% - Accent2 3 4 2" xfId="4150" xr:uid="{71D3B92D-D101-49DD-B1BD-3FB7B1A8C3E2}"/>
    <cellStyle name="40% - Accent2 3 4 2 2" xfId="8368" xr:uid="{8FBB341D-A9D3-4A06-B98D-8B479AE0EE9A}"/>
    <cellStyle name="40% - Accent2 3 4 3" xfId="6223" xr:uid="{76EF2DD1-BDCB-4411-9A50-A8D5680A4510}"/>
    <cellStyle name="40% - Accent2 3 5" xfId="2334" xr:uid="{B82B9E8E-0D93-4AD1-BE43-B79A335918A3}"/>
    <cellStyle name="40% - Accent2 3 5 2" xfId="4563" xr:uid="{6438FE36-ABD1-490A-8539-42412FE0B64D}"/>
    <cellStyle name="40% - Accent2 3 5 2 2" xfId="8781" xr:uid="{5C115003-EB27-412F-845D-F26034332300}"/>
    <cellStyle name="40% - Accent2 3 5 3" xfId="6636" xr:uid="{E1E51528-11B8-4E3E-BCB6-BBABEC51173A}"/>
    <cellStyle name="40% - Accent2 3 6" xfId="2747" xr:uid="{64E493C7-447F-4875-B96C-02455DC4547E}"/>
    <cellStyle name="40% - Accent2 3 6 2" xfId="4976" xr:uid="{803F0CD2-A4A3-4A49-B887-7A4A26D160E3}"/>
    <cellStyle name="40% - Accent2 3 6 2 2" xfId="9194" xr:uid="{531AD2BD-57B0-48DF-8A51-053C13A48471}"/>
    <cellStyle name="40% - Accent2 3 6 3" xfId="7049" xr:uid="{645FB121-8807-492F-AB19-A1C77E53D2E4}"/>
    <cellStyle name="40% - Accent2 3 7" xfId="3160" xr:uid="{4C6D94C1-B6AF-4D4C-936C-3707D1B6E6E1}"/>
    <cellStyle name="40% - Accent2 3 7 2" xfId="7462" xr:uid="{2D756AE7-E624-4890-B027-7DE174115014}"/>
    <cellStyle name="40% - Accent2 3 8" xfId="5396" xr:uid="{253B0881-75AB-4CAE-A305-A129C1C66E93}"/>
    <cellStyle name="40% - Accent2 3 9" xfId="1092" xr:uid="{6BBC0AE9-0C72-49A2-895F-16AC1468804F}"/>
    <cellStyle name="40% - Accent2 4" xfId="64" xr:uid="{00000000-0005-0000-0000-00007D000000}"/>
    <cellStyle name="40% - Accent2 4 2" xfId="641" xr:uid="{00000000-0005-0000-0000-00007E000000}"/>
    <cellStyle name="40% - Accent2 4 2 2" xfId="3739" xr:uid="{52E7C1F0-8D2B-4755-82B1-11B057F24F5B}"/>
    <cellStyle name="40% - Accent2 4 2 2 2" xfId="7957" xr:uid="{9C857DB8-87E1-498B-BE15-5348039762BA}"/>
    <cellStyle name="40% - Accent2 4 2 3" xfId="5812" xr:uid="{6ECCB44C-10B7-4F88-93F8-15913E06EE3C}"/>
    <cellStyle name="40% - Accent2 4 2 4" xfId="1508" xr:uid="{3428B4ED-5F0A-4FF1-9F9F-965EED8A65D2}"/>
    <cellStyle name="40% - Accent2 4 3" xfId="1923" xr:uid="{A5D2E4EB-9881-4721-9C4D-86B302C3B598}"/>
    <cellStyle name="40% - Accent2 4 3 2" xfId="4152" xr:uid="{821FB0C9-AA92-4BEC-9B4A-98A27FAFEAF1}"/>
    <cellStyle name="40% - Accent2 4 3 2 2" xfId="8370" xr:uid="{08197D9C-DF74-4B88-B667-62915145D13C}"/>
    <cellStyle name="40% - Accent2 4 3 3" xfId="6225" xr:uid="{73151978-2591-4EF4-8A61-8991A15A3AC4}"/>
    <cellStyle name="40% - Accent2 4 4" xfId="2336" xr:uid="{5DCD4245-C311-42A1-89BF-5D4C24A3FC14}"/>
    <cellStyle name="40% - Accent2 4 4 2" xfId="4565" xr:uid="{2F8E4A63-9433-42D7-8728-1AAD3465DF36}"/>
    <cellStyle name="40% - Accent2 4 4 2 2" xfId="8783" xr:uid="{9D8914EC-4602-45C4-BB4C-78D925113049}"/>
    <cellStyle name="40% - Accent2 4 4 3" xfId="6638" xr:uid="{3EBBDB72-9C1B-4CDC-BDD9-563B34ED6669}"/>
    <cellStyle name="40% - Accent2 4 5" xfId="2749" xr:uid="{BCBEA396-4D0D-438F-9DE1-B19D888FC529}"/>
    <cellStyle name="40% - Accent2 4 5 2" xfId="4978" xr:uid="{983926BF-EEDC-4ECB-A35F-0CC98488EEB5}"/>
    <cellStyle name="40% - Accent2 4 5 2 2" xfId="9196" xr:uid="{49383B5E-FBCA-4901-BC61-F9DCF6D373B6}"/>
    <cellStyle name="40% - Accent2 4 5 3" xfId="7051" xr:uid="{640F046F-B490-474E-AD20-E17F23900211}"/>
    <cellStyle name="40% - Accent2 4 6" xfId="3162" xr:uid="{76D46009-44EA-44BE-841F-380B2BFCAC0E}"/>
    <cellStyle name="40% - Accent2 4 6 2" xfId="7464" xr:uid="{B8791431-0CC5-4AC0-BA67-A1A057B78199}"/>
    <cellStyle name="40% - Accent2 4 7" xfId="5398" xr:uid="{9FD273BA-8DDC-4EBC-B02B-CA20CF00BC9D}"/>
    <cellStyle name="40% - Accent2 4 8" xfId="1094" xr:uid="{18C1487A-5ED1-449C-8CD6-3A90F99581C8}"/>
    <cellStyle name="40% - Accent2 5" xfId="634" xr:uid="{00000000-0005-0000-0000-00007F000000}"/>
    <cellStyle name="40% - Accent2 5 2" xfId="3732" xr:uid="{D7AB807E-834A-40F9-8CD2-11752876D52A}"/>
    <cellStyle name="40% - Accent2 5 2 2" xfId="7950" xr:uid="{E674951A-47D3-46F6-A3C7-189634ADCE04}"/>
    <cellStyle name="40% - Accent2 5 3" xfId="5805" xr:uid="{E8E0D41D-1836-4263-9E52-62630C4FA660}"/>
    <cellStyle name="40% - Accent2 5 4" xfId="1501" xr:uid="{C5E3A9C7-BD7D-43D2-9110-00460480E354}"/>
    <cellStyle name="40% - Accent2 6" xfId="1916" xr:uid="{3628A107-8197-4BDC-B2F6-11504ED0DE69}"/>
    <cellStyle name="40% - Accent2 6 2" xfId="4145" xr:uid="{FFA575ED-6904-4E25-8BB0-4EA63F7A1B7B}"/>
    <cellStyle name="40% - Accent2 6 2 2" xfId="8363" xr:uid="{41A5613F-19CF-48D3-AF8B-389F40A6E48D}"/>
    <cellStyle name="40% - Accent2 6 3" xfId="6218" xr:uid="{8F6288DE-81FE-4322-807A-E6D4CDB65E40}"/>
    <cellStyle name="40% - Accent2 7" xfId="2329" xr:uid="{5B90E203-DFC5-46C0-A94E-41704D3B4817}"/>
    <cellStyle name="40% - Accent2 7 2" xfId="4558" xr:uid="{C19A24DB-3C31-47EF-8949-603D7FFFBBE3}"/>
    <cellStyle name="40% - Accent2 7 2 2" xfId="8776" xr:uid="{15586DD0-877F-4352-8878-D1B63DFE77FE}"/>
    <cellStyle name="40% - Accent2 7 3" xfId="6631" xr:uid="{16137CB4-2361-48E6-B154-E1FD1ED024B6}"/>
    <cellStyle name="40% - Accent2 8" xfId="2742" xr:uid="{3F591462-2E04-4961-A090-F22D3634EC4B}"/>
    <cellStyle name="40% - Accent2 8 2" xfId="4971" xr:uid="{2F0293D4-AC9D-4B92-AE4E-FDC5538C983A}"/>
    <cellStyle name="40% - Accent2 8 2 2" xfId="9189" xr:uid="{6F1732AB-4F96-4473-A23E-01F19F9E957E}"/>
    <cellStyle name="40% - Accent2 8 3" xfId="7044" xr:uid="{6EC70294-8B28-4AE5-8DB2-CF1AE874CBCF}"/>
    <cellStyle name="40% - Accent2 9" xfId="3155" xr:uid="{BE594118-1E40-4A97-A46A-023BEAD32829}"/>
    <cellStyle name="40% - Accent2 9 2" xfId="7457" xr:uid="{8BEB095D-4897-4C16-8B2C-217316ACF046}"/>
    <cellStyle name="40% - Accent3" xfId="65" builtinId="39" customBuiltin="1"/>
    <cellStyle name="40% - Accent3 10" xfId="5399" xr:uid="{2363F9D3-EF7B-4630-869E-63EC4F69388B}"/>
    <cellStyle name="40% - Accent3 11" xfId="1095" xr:uid="{0F502855-83E5-4A4B-9752-1A69793FBE9A}"/>
    <cellStyle name="40% - Accent3 2" xfId="66" xr:uid="{00000000-0005-0000-0000-000081000000}"/>
    <cellStyle name="40% - Accent3 2 10" xfId="1096" xr:uid="{86E0FBFC-73D7-4E16-AE5D-5916AAF8C0D4}"/>
    <cellStyle name="40% - Accent3 2 2" xfId="67" xr:uid="{00000000-0005-0000-0000-000082000000}"/>
    <cellStyle name="40% - Accent3 2 2 2" xfId="68" xr:uid="{00000000-0005-0000-0000-000083000000}"/>
    <cellStyle name="40% - Accent3 2 2 2 2" xfId="645" xr:uid="{00000000-0005-0000-0000-000084000000}"/>
    <cellStyle name="40% - Accent3 2 2 2 2 2" xfId="3743" xr:uid="{C0FFA7BF-C344-4175-85E3-E889750D5DF8}"/>
    <cellStyle name="40% - Accent3 2 2 2 2 2 2" xfId="7961" xr:uid="{7223943D-CA52-40C4-8904-C9E9F32074DB}"/>
    <cellStyle name="40% - Accent3 2 2 2 2 3" xfId="5816" xr:uid="{A1AB0BD2-89B3-42F4-98B0-EF836D0E9336}"/>
    <cellStyle name="40% - Accent3 2 2 2 2 4" xfId="1512" xr:uid="{03BCA52F-3C84-4295-898F-32A937643D2E}"/>
    <cellStyle name="40% - Accent3 2 2 2 3" xfId="1927" xr:uid="{A3A1CC46-32E7-4D5C-8B97-11A4C5B0CEC5}"/>
    <cellStyle name="40% - Accent3 2 2 2 3 2" xfId="4156" xr:uid="{417E97DD-3BF6-4913-B856-E476014586E5}"/>
    <cellStyle name="40% - Accent3 2 2 2 3 2 2" xfId="8374" xr:uid="{F1741AFC-CC2D-46A9-88A1-110610D0B499}"/>
    <cellStyle name="40% - Accent3 2 2 2 3 3" xfId="6229" xr:uid="{791ADB53-21A4-4782-8DAF-993FD49C94F6}"/>
    <cellStyle name="40% - Accent3 2 2 2 4" xfId="2340" xr:uid="{512C67C9-5E8C-4BD7-8DF3-199AE63CF3A9}"/>
    <cellStyle name="40% - Accent3 2 2 2 4 2" xfId="4569" xr:uid="{AF26642E-84EF-4BF1-8D04-581960216735}"/>
    <cellStyle name="40% - Accent3 2 2 2 4 2 2" xfId="8787" xr:uid="{593DC876-4C01-406A-A99A-D9340F4E4D57}"/>
    <cellStyle name="40% - Accent3 2 2 2 4 3" xfId="6642" xr:uid="{9DA6E1DF-AD57-4096-AF13-CFD19E967FE8}"/>
    <cellStyle name="40% - Accent3 2 2 2 5" xfId="2753" xr:uid="{FACBAB44-74CC-41BF-BA36-80ADA633A8E2}"/>
    <cellStyle name="40% - Accent3 2 2 2 5 2" xfId="4982" xr:uid="{2120A8A5-AA8D-4C26-BD02-32A3675B94DE}"/>
    <cellStyle name="40% - Accent3 2 2 2 5 2 2" xfId="9200" xr:uid="{52E78BEF-F1F9-496B-88B6-0FCF759F12C6}"/>
    <cellStyle name="40% - Accent3 2 2 2 5 3" xfId="7055" xr:uid="{C2DA11BF-6E45-4543-927E-24796A8F1B12}"/>
    <cellStyle name="40% - Accent3 2 2 2 6" xfId="3166" xr:uid="{BCAF5DE4-1FCF-4C8E-BDC7-EA530CACB3E8}"/>
    <cellStyle name="40% - Accent3 2 2 2 6 2" xfId="7468" xr:uid="{6B94A2BC-7502-45F0-B436-201AB7D9A8E0}"/>
    <cellStyle name="40% - Accent3 2 2 2 7" xfId="5402" xr:uid="{82EB588C-7270-48F8-99CB-D38CE75D5A16}"/>
    <cellStyle name="40% - Accent3 2 2 2 8" xfId="1098" xr:uid="{521AA983-38D8-4FD9-BF2B-0F0108889B00}"/>
    <cellStyle name="40% - Accent3 2 2 3" xfId="644" xr:uid="{00000000-0005-0000-0000-000085000000}"/>
    <cellStyle name="40% - Accent3 2 2 3 2" xfId="3742" xr:uid="{0390C055-E2C4-4BD5-88DE-4A3B76B7FF22}"/>
    <cellStyle name="40% - Accent3 2 2 3 2 2" xfId="7960" xr:uid="{EF5C6DF8-08C5-4AAA-9D5C-8116CEACAD84}"/>
    <cellStyle name="40% - Accent3 2 2 3 3" xfId="5815" xr:uid="{DE3E9B7F-8781-43F6-AC7F-4C9D3150F7A4}"/>
    <cellStyle name="40% - Accent3 2 2 3 4" xfId="1511" xr:uid="{EC55883B-EEDA-4B3C-9E4B-A8CB7D3FAE5B}"/>
    <cellStyle name="40% - Accent3 2 2 4" xfId="1926" xr:uid="{5DDA11A0-E5D2-49A0-81A0-99FA62E67E9C}"/>
    <cellStyle name="40% - Accent3 2 2 4 2" xfId="4155" xr:uid="{1FAD3E1F-9C4F-429E-899D-6FEA503C9FCB}"/>
    <cellStyle name="40% - Accent3 2 2 4 2 2" xfId="8373" xr:uid="{62803678-B761-4353-9783-2C1C76989A38}"/>
    <cellStyle name="40% - Accent3 2 2 4 3" xfId="6228" xr:uid="{69BEF925-BFE6-4CCD-BF5E-088BA28044A2}"/>
    <cellStyle name="40% - Accent3 2 2 5" xfId="2339" xr:uid="{10E01670-4E35-4673-8C16-8DC8044E6D7F}"/>
    <cellStyle name="40% - Accent3 2 2 5 2" xfId="4568" xr:uid="{999F0C3F-E6BE-497D-815C-A5746B4E6BA8}"/>
    <cellStyle name="40% - Accent3 2 2 5 2 2" xfId="8786" xr:uid="{64885E3C-A841-48F5-A887-85327691719F}"/>
    <cellStyle name="40% - Accent3 2 2 5 3" xfId="6641" xr:uid="{387328F1-888B-4A3D-8966-A75B90123A42}"/>
    <cellStyle name="40% - Accent3 2 2 6" xfId="2752" xr:uid="{903873CF-3965-441C-A446-04A8B57459AC}"/>
    <cellStyle name="40% - Accent3 2 2 6 2" xfId="4981" xr:uid="{BF126B5A-0956-4E2E-974A-44F26BDD83CB}"/>
    <cellStyle name="40% - Accent3 2 2 6 2 2" xfId="9199" xr:uid="{B0907FAB-7EDA-43DD-803B-E9DF1A97EA16}"/>
    <cellStyle name="40% - Accent3 2 2 6 3" xfId="7054" xr:uid="{26D5A821-A70D-4065-94D7-912F08F203E3}"/>
    <cellStyle name="40% - Accent3 2 2 7" xfId="3165" xr:uid="{EAA3AC65-35FD-4038-A3F5-67F3C3A00594}"/>
    <cellStyle name="40% - Accent3 2 2 7 2" xfId="7467" xr:uid="{0694FF7B-46D5-44BC-AC87-163DB9E3973D}"/>
    <cellStyle name="40% - Accent3 2 2 8" xfId="5401" xr:uid="{F7D8CCD7-0B51-4A13-8FDD-3CC61EF74D0F}"/>
    <cellStyle name="40% - Accent3 2 2 9" xfId="1097" xr:uid="{03D32788-C73B-44DC-8225-6CC50C47F736}"/>
    <cellStyle name="40% - Accent3 2 3" xfId="69" xr:uid="{00000000-0005-0000-0000-000086000000}"/>
    <cellStyle name="40% - Accent3 2 3 2" xfId="646" xr:uid="{00000000-0005-0000-0000-000087000000}"/>
    <cellStyle name="40% - Accent3 2 3 2 2" xfId="3744" xr:uid="{F5BCAA4A-AF8B-427C-83A4-DE734FFF6A8E}"/>
    <cellStyle name="40% - Accent3 2 3 2 2 2" xfId="7962" xr:uid="{AB019E37-4E39-4194-9B5D-F3FD048E8362}"/>
    <cellStyle name="40% - Accent3 2 3 2 3" xfId="5817" xr:uid="{43ADBCD2-3D30-4225-93AA-262EF86070DE}"/>
    <cellStyle name="40% - Accent3 2 3 2 4" xfId="1513" xr:uid="{C2B8F383-05F8-44D8-8D04-4F0D92DB6FEA}"/>
    <cellStyle name="40% - Accent3 2 3 3" xfId="1928" xr:uid="{9D28587E-F017-40CB-B429-0A51680057ED}"/>
    <cellStyle name="40% - Accent3 2 3 3 2" xfId="4157" xr:uid="{A81485E8-CBA7-4507-A19D-0099317FBCF7}"/>
    <cellStyle name="40% - Accent3 2 3 3 2 2" xfId="8375" xr:uid="{51271E4C-7555-4FCE-92A7-FE185AEFBE50}"/>
    <cellStyle name="40% - Accent3 2 3 3 3" xfId="6230" xr:uid="{CE0CDE13-90CB-49E9-AB10-E263EBD7FB3D}"/>
    <cellStyle name="40% - Accent3 2 3 4" xfId="2341" xr:uid="{40CDBBDE-28BF-44BD-8B30-CBF5ACE77DB9}"/>
    <cellStyle name="40% - Accent3 2 3 4 2" xfId="4570" xr:uid="{DDC4933B-7790-48DA-ADD5-2948CA511157}"/>
    <cellStyle name="40% - Accent3 2 3 4 2 2" xfId="8788" xr:uid="{AF00D010-D47C-43C7-80F5-36885E433A4B}"/>
    <cellStyle name="40% - Accent3 2 3 4 3" xfId="6643" xr:uid="{E2802FC0-EFEF-4569-8FBB-DBD324954DDD}"/>
    <cellStyle name="40% - Accent3 2 3 5" xfId="2754" xr:uid="{A31A6C3D-6BC0-46AF-A542-8A7DB7CA52AB}"/>
    <cellStyle name="40% - Accent3 2 3 5 2" xfId="4983" xr:uid="{F829A7F1-60D4-4868-AF97-79ED5BD2D8BF}"/>
    <cellStyle name="40% - Accent3 2 3 5 2 2" xfId="9201" xr:uid="{4D2AA523-2315-4034-8FD9-4DDBC92DC736}"/>
    <cellStyle name="40% - Accent3 2 3 5 3" xfId="7056" xr:uid="{BE785ACC-8536-457B-B9FA-CF18CE32195F}"/>
    <cellStyle name="40% - Accent3 2 3 6" xfId="3167" xr:uid="{150A8C49-CF33-4102-B887-DF5C664985B0}"/>
    <cellStyle name="40% - Accent3 2 3 6 2" xfId="7469" xr:uid="{ABF3B40C-3716-4578-8D99-20FF5C1CC70A}"/>
    <cellStyle name="40% - Accent3 2 3 7" xfId="5403" xr:uid="{13C3B743-254C-4886-8143-C7A2C5C42EBC}"/>
    <cellStyle name="40% - Accent3 2 3 8" xfId="1099" xr:uid="{B7F944DD-E8B7-4700-B451-F0C9D84B5E51}"/>
    <cellStyle name="40% - Accent3 2 4" xfId="643" xr:uid="{00000000-0005-0000-0000-000088000000}"/>
    <cellStyle name="40% - Accent3 2 4 2" xfId="3741" xr:uid="{04619486-54E2-4643-A0F9-D638B435F27F}"/>
    <cellStyle name="40% - Accent3 2 4 2 2" xfId="7959" xr:uid="{9BE61001-0FE3-4903-A7F8-94EB0ED4A762}"/>
    <cellStyle name="40% - Accent3 2 4 3" xfId="5814" xr:uid="{5E004696-3E89-4A59-A921-101CA056F550}"/>
    <cellStyle name="40% - Accent3 2 4 4" xfId="1510" xr:uid="{D550A17B-D969-4BED-A2E4-92F056A98E28}"/>
    <cellStyle name="40% - Accent3 2 5" xfId="1925" xr:uid="{EC5ADF10-37E0-44C6-A241-5BF987CF4840}"/>
    <cellStyle name="40% - Accent3 2 5 2" xfId="4154" xr:uid="{A9EE90B6-4F04-41D9-8E82-4D45B0E36067}"/>
    <cellStyle name="40% - Accent3 2 5 2 2" xfId="8372" xr:uid="{30079170-7B90-49AA-A792-2FDA4B72166E}"/>
    <cellStyle name="40% - Accent3 2 5 3" xfId="6227" xr:uid="{5A207600-95CB-48B6-A019-36B822F66142}"/>
    <cellStyle name="40% - Accent3 2 6" xfId="2338" xr:uid="{BA5F2412-5A09-4D8C-84AC-B97D758721C6}"/>
    <cellStyle name="40% - Accent3 2 6 2" xfId="4567" xr:uid="{7737F831-C529-4889-A6AD-4520E54DE0FB}"/>
    <cellStyle name="40% - Accent3 2 6 2 2" xfId="8785" xr:uid="{8B2A54F1-C3B7-4C29-8528-EFBD562D5B6F}"/>
    <cellStyle name="40% - Accent3 2 6 3" xfId="6640" xr:uid="{4CCCBD18-0419-4799-9AD2-B2425A27026B}"/>
    <cellStyle name="40% - Accent3 2 7" xfId="2751" xr:uid="{280B188F-1DD6-4186-8DD9-93CA7A2F96A2}"/>
    <cellStyle name="40% - Accent3 2 7 2" xfId="4980" xr:uid="{7EB5F7E2-EC14-49BF-8FF6-BC410A2DB934}"/>
    <cellStyle name="40% - Accent3 2 7 2 2" xfId="9198" xr:uid="{EFA540B2-8F45-4A1D-9C63-9C9316E5EDD1}"/>
    <cellStyle name="40% - Accent3 2 7 3" xfId="7053" xr:uid="{3D772B63-1500-4AD4-BA3B-B5DC2F647BE7}"/>
    <cellStyle name="40% - Accent3 2 8" xfId="3164" xr:uid="{6EEFEB8D-B7B6-4294-B8B3-1AF4E86F94E9}"/>
    <cellStyle name="40% - Accent3 2 8 2" xfId="7466" xr:uid="{622242A9-BBFE-43B5-AAD2-E75006E181E5}"/>
    <cellStyle name="40% - Accent3 2 9" xfId="5400" xr:uid="{6594FBE8-82AE-491B-98C7-1CEFD9637521}"/>
    <cellStyle name="40% - Accent3 3" xfId="70" xr:uid="{00000000-0005-0000-0000-000089000000}"/>
    <cellStyle name="40% - Accent3 3 2" xfId="71" xr:uid="{00000000-0005-0000-0000-00008A000000}"/>
    <cellStyle name="40% - Accent3 3 2 2" xfId="648" xr:uid="{00000000-0005-0000-0000-00008B000000}"/>
    <cellStyle name="40% - Accent3 3 2 2 2" xfId="3746" xr:uid="{AF0EF2D1-550D-4B4D-ACB3-9470D577BE47}"/>
    <cellStyle name="40% - Accent3 3 2 2 2 2" xfId="7964" xr:uid="{FAE4C6C8-6033-43A7-953B-E2E6A6EBA96E}"/>
    <cellStyle name="40% - Accent3 3 2 2 3" xfId="5819" xr:uid="{4D1B61DA-CF36-4207-84E0-92ABD06B4617}"/>
    <cellStyle name="40% - Accent3 3 2 2 4" xfId="1515" xr:uid="{254AA6F2-2D32-4144-961C-A410384EDCE9}"/>
    <cellStyle name="40% - Accent3 3 2 3" xfId="1930" xr:uid="{B6E39C6A-90B5-4DB9-A1C4-82C26B6280C9}"/>
    <cellStyle name="40% - Accent3 3 2 3 2" xfId="4159" xr:uid="{9456E249-6893-4307-AB06-09D8972F520C}"/>
    <cellStyle name="40% - Accent3 3 2 3 2 2" xfId="8377" xr:uid="{B45D9E72-EA16-45C4-B333-7BCC80C82F50}"/>
    <cellStyle name="40% - Accent3 3 2 3 3" xfId="6232" xr:uid="{9B204A46-6633-4A58-8883-22C7FE3CFC94}"/>
    <cellStyle name="40% - Accent3 3 2 4" xfId="2343" xr:uid="{2C790AAD-A9EC-4C8E-A5AA-097F76D8B369}"/>
    <cellStyle name="40% - Accent3 3 2 4 2" xfId="4572" xr:uid="{A8A062BE-D122-4C08-9D7A-64099FB29040}"/>
    <cellStyle name="40% - Accent3 3 2 4 2 2" xfId="8790" xr:uid="{D15E9F95-8B2F-4E32-A2F8-CBE0365C8B02}"/>
    <cellStyle name="40% - Accent3 3 2 4 3" xfId="6645" xr:uid="{C9BC5E3D-ED27-44FF-9048-5BFA6B347EEA}"/>
    <cellStyle name="40% - Accent3 3 2 5" xfId="2756" xr:uid="{C9118DFB-C123-48CF-A962-D3A2AEE1D9F4}"/>
    <cellStyle name="40% - Accent3 3 2 5 2" xfId="4985" xr:uid="{6D0559F3-1886-4B11-A840-199E3D681014}"/>
    <cellStyle name="40% - Accent3 3 2 5 2 2" xfId="9203" xr:uid="{06F73B97-E5A1-43AA-9556-9C3B5EBE0C75}"/>
    <cellStyle name="40% - Accent3 3 2 5 3" xfId="7058" xr:uid="{20B0EFF0-9F0B-4ADF-837E-E4FDCEFFEA85}"/>
    <cellStyle name="40% - Accent3 3 2 6" xfId="3169" xr:uid="{59544985-6E72-4E4F-8525-373A4CA40CF9}"/>
    <cellStyle name="40% - Accent3 3 2 6 2" xfId="7471" xr:uid="{9BECCB89-DEAC-4E1D-AB06-FC3F682EE63A}"/>
    <cellStyle name="40% - Accent3 3 2 7" xfId="5405" xr:uid="{7254C10D-B9E1-44F4-B7DE-0640ADE067C1}"/>
    <cellStyle name="40% - Accent3 3 2 8" xfId="1101" xr:uid="{10235F59-DC24-425C-856D-B885D3AF4F81}"/>
    <cellStyle name="40% - Accent3 3 3" xfId="647" xr:uid="{00000000-0005-0000-0000-00008C000000}"/>
    <cellStyle name="40% - Accent3 3 3 2" xfId="3745" xr:uid="{DA5E7F5F-ED10-4503-85C4-169DA097EC3D}"/>
    <cellStyle name="40% - Accent3 3 3 2 2" xfId="7963" xr:uid="{8BC152C7-599F-4AE1-A32A-DBDA6610DB4D}"/>
    <cellStyle name="40% - Accent3 3 3 3" xfId="5818" xr:uid="{F404D525-F175-4C33-8112-8AC1932F4BE0}"/>
    <cellStyle name="40% - Accent3 3 3 4" xfId="1514" xr:uid="{EA74ABB8-CC31-4FDF-85D6-33D4D34256CB}"/>
    <cellStyle name="40% - Accent3 3 4" xfId="1929" xr:uid="{5619A517-FBDC-43F7-AD83-5D507F0057A9}"/>
    <cellStyle name="40% - Accent3 3 4 2" xfId="4158" xr:uid="{BE91894E-D23E-43EB-B44D-D73A9D611FC1}"/>
    <cellStyle name="40% - Accent3 3 4 2 2" xfId="8376" xr:uid="{A212E88A-0CAD-4880-9FC4-E4B5E4F1FD5E}"/>
    <cellStyle name="40% - Accent3 3 4 3" xfId="6231" xr:uid="{F682CDA6-FF7F-403F-B6FA-FA72E600174F}"/>
    <cellStyle name="40% - Accent3 3 5" xfId="2342" xr:uid="{F3CF7C56-AA75-4010-8B0C-38D67196EFD6}"/>
    <cellStyle name="40% - Accent3 3 5 2" xfId="4571" xr:uid="{B04490BC-4B80-4E09-B2AC-3E900CB0F372}"/>
    <cellStyle name="40% - Accent3 3 5 2 2" xfId="8789" xr:uid="{F42A154D-756A-47CC-9E2B-363C395CF469}"/>
    <cellStyle name="40% - Accent3 3 5 3" xfId="6644" xr:uid="{75B28562-1FAD-4AB9-A5DD-7548C4C4C57A}"/>
    <cellStyle name="40% - Accent3 3 6" xfId="2755" xr:uid="{6F02C777-D0D9-4717-9187-CA6AF7281874}"/>
    <cellStyle name="40% - Accent3 3 6 2" xfId="4984" xr:uid="{A48B3BBA-BD0D-4855-8DD5-188FB64A5026}"/>
    <cellStyle name="40% - Accent3 3 6 2 2" xfId="9202" xr:uid="{BE08C427-FC99-4A17-AD9E-087D9F788E06}"/>
    <cellStyle name="40% - Accent3 3 6 3" xfId="7057" xr:uid="{20686DFA-74A7-46F3-8CEB-788088FD5B06}"/>
    <cellStyle name="40% - Accent3 3 7" xfId="3168" xr:uid="{98A0E29F-5F20-4953-96C7-5E68C1A63731}"/>
    <cellStyle name="40% - Accent3 3 7 2" xfId="7470" xr:uid="{5BD5397E-414C-4286-B7D3-988A75317CCE}"/>
    <cellStyle name="40% - Accent3 3 8" xfId="5404" xr:uid="{9A32C208-A206-4DDA-884B-46CEA191686B}"/>
    <cellStyle name="40% - Accent3 3 9" xfId="1100" xr:uid="{7D5ADAEE-F2DD-4DE0-9F54-2BF641283BA5}"/>
    <cellStyle name="40% - Accent3 4" xfId="72" xr:uid="{00000000-0005-0000-0000-00008D000000}"/>
    <cellStyle name="40% - Accent3 4 2" xfId="649" xr:uid="{00000000-0005-0000-0000-00008E000000}"/>
    <cellStyle name="40% - Accent3 4 2 2" xfId="3747" xr:uid="{AA1369C2-D0BC-48F2-85CE-9A72A3C6ECEF}"/>
    <cellStyle name="40% - Accent3 4 2 2 2" xfId="7965" xr:uid="{639A8FBC-CBA0-4F23-A34E-7273DF1D62BE}"/>
    <cellStyle name="40% - Accent3 4 2 3" xfId="5820" xr:uid="{AB2173B1-A14E-4A61-94E6-98287EA9572B}"/>
    <cellStyle name="40% - Accent3 4 2 4" xfId="1516" xr:uid="{D163F944-EAF2-4D00-9E2E-49BD352439E8}"/>
    <cellStyle name="40% - Accent3 4 3" xfId="1931" xr:uid="{7335E757-8BA7-4560-A28D-567BA01C3D9E}"/>
    <cellStyle name="40% - Accent3 4 3 2" xfId="4160" xr:uid="{0C8253CF-457D-4D83-A431-81909901AB0F}"/>
    <cellStyle name="40% - Accent3 4 3 2 2" xfId="8378" xr:uid="{73D7E206-F2EE-4570-B00C-27F473E63042}"/>
    <cellStyle name="40% - Accent3 4 3 3" xfId="6233" xr:uid="{5F1F3766-1B22-47BE-A54B-2881C5AC0A9D}"/>
    <cellStyle name="40% - Accent3 4 4" xfId="2344" xr:uid="{F2FBA9CC-83CC-4DE0-A23D-F7C29E2A4C76}"/>
    <cellStyle name="40% - Accent3 4 4 2" xfId="4573" xr:uid="{5A5C4811-FBCA-4BF8-9584-525F71FFE86D}"/>
    <cellStyle name="40% - Accent3 4 4 2 2" xfId="8791" xr:uid="{9C2BCB0B-65B2-4E5D-BD33-EB030819FB7D}"/>
    <cellStyle name="40% - Accent3 4 4 3" xfId="6646" xr:uid="{EFC94912-A345-45DF-BF99-B95A1E9ECDB8}"/>
    <cellStyle name="40% - Accent3 4 5" xfId="2757" xr:uid="{BE434962-9AA8-4147-9637-E24904549B73}"/>
    <cellStyle name="40% - Accent3 4 5 2" xfId="4986" xr:uid="{F7C73040-3D10-44CF-82DD-4CDF61209B8B}"/>
    <cellStyle name="40% - Accent3 4 5 2 2" xfId="9204" xr:uid="{29FD9F44-DA2E-4D51-A421-2EE54C131248}"/>
    <cellStyle name="40% - Accent3 4 5 3" xfId="7059" xr:uid="{950B3069-AAD6-48D1-BA3D-8B4E650FD149}"/>
    <cellStyle name="40% - Accent3 4 6" xfId="3170" xr:uid="{949BEA8A-0EFF-48F4-A5CB-0C803AAB6D02}"/>
    <cellStyle name="40% - Accent3 4 6 2" xfId="7472" xr:uid="{8CA8D407-A444-4815-91EC-7B0CD373ED66}"/>
    <cellStyle name="40% - Accent3 4 7" xfId="5406" xr:uid="{D0527DF3-9715-45F5-88D8-073982247A54}"/>
    <cellStyle name="40% - Accent3 4 8" xfId="1102" xr:uid="{D9026D47-ED2C-4D09-B2D1-86874188E336}"/>
    <cellStyle name="40% - Accent3 5" xfId="642" xr:uid="{00000000-0005-0000-0000-00008F000000}"/>
    <cellStyle name="40% - Accent3 5 2" xfId="3740" xr:uid="{F4AC801F-2882-4026-A85C-68DC9EB23948}"/>
    <cellStyle name="40% - Accent3 5 2 2" xfId="7958" xr:uid="{075F4969-49CB-4E21-9F70-58C1D83D9E24}"/>
    <cellStyle name="40% - Accent3 5 3" xfId="5813" xr:uid="{DFF2B337-80EA-4A84-997A-DD188FC2F662}"/>
    <cellStyle name="40% - Accent3 5 4" xfId="1509" xr:uid="{80B476DC-27C5-4078-A759-B7BA9325D59D}"/>
    <cellStyle name="40% - Accent3 6" xfId="1924" xr:uid="{04C437FB-F34C-4AA0-9E3E-A9E2F9BFBA22}"/>
    <cellStyle name="40% - Accent3 6 2" xfId="4153" xr:uid="{8E542C2B-F7C6-445B-B392-31575E8E7D3C}"/>
    <cellStyle name="40% - Accent3 6 2 2" xfId="8371" xr:uid="{EE8071AE-8939-430D-B530-42220F1F0EBF}"/>
    <cellStyle name="40% - Accent3 6 3" xfId="6226" xr:uid="{5BE00A30-89F6-4CFA-BF75-BAD06307C35A}"/>
    <cellStyle name="40% - Accent3 7" xfId="2337" xr:uid="{4A234C6B-EE7F-4F9A-A85F-224EECB0F5BB}"/>
    <cellStyle name="40% - Accent3 7 2" xfId="4566" xr:uid="{85D7BA6F-319A-426D-A0E6-5282FC12C057}"/>
    <cellStyle name="40% - Accent3 7 2 2" xfId="8784" xr:uid="{6853D3C1-25B3-4454-902B-F427BFE6AEC7}"/>
    <cellStyle name="40% - Accent3 7 3" xfId="6639" xr:uid="{00489BDC-15D4-4FC5-AB43-947716BEA889}"/>
    <cellStyle name="40% - Accent3 8" xfId="2750" xr:uid="{BBE0E79F-B389-494A-83E7-8BB10E04F057}"/>
    <cellStyle name="40% - Accent3 8 2" xfId="4979" xr:uid="{3D55A65F-F53B-4D53-9680-757688203115}"/>
    <cellStyle name="40% - Accent3 8 2 2" xfId="9197" xr:uid="{8BDB3132-7016-418A-A501-1B0D8E49B8F6}"/>
    <cellStyle name="40% - Accent3 8 3" xfId="7052" xr:uid="{D4B1CD78-F6A8-4565-A1D5-687C1A088801}"/>
    <cellStyle name="40% - Accent3 9" xfId="3163" xr:uid="{3ABA2D18-2162-4C7D-B55B-824D1974BD71}"/>
    <cellStyle name="40% - Accent3 9 2" xfId="7465" xr:uid="{35A7D1B9-17B1-4C14-ADDF-1A2DEEF867D8}"/>
    <cellStyle name="40% - Accent4" xfId="73" builtinId="43" customBuiltin="1"/>
    <cellStyle name="40% - Accent4 10" xfId="5407" xr:uid="{0AE58A3E-8878-4E1E-BA41-F7B5083706BB}"/>
    <cellStyle name="40% - Accent4 11" xfId="1103" xr:uid="{D7F55722-0716-4E28-85D2-934B915C0048}"/>
    <cellStyle name="40% - Accent4 2" xfId="74" xr:uid="{00000000-0005-0000-0000-000091000000}"/>
    <cellStyle name="40% - Accent4 2 10" xfId="1104" xr:uid="{0358621A-3D6E-4A66-B9AB-C42434AFF09D}"/>
    <cellStyle name="40% - Accent4 2 2" xfId="75" xr:uid="{00000000-0005-0000-0000-000092000000}"/>
    <cellStyle name="40% - Accent4 2 2 2" xfId="76" xr:uid="{00000000-0005-0000-0000-000093000000}"/>
    <cellStyle name="40% - Accent4 2 2 2 2" xfId="653" xr:uid="{00000000-0005-0000-0000-000094000000}"/>
    <cellStyle name="40% - Accent4 2 2 2 2 2" xfId="3751" xr:uid="{9FC4CB49-8B54-43A6-9AA2-8B6D0470C995}"/>
    <cellStyle name="40% - Accent4 2 2 2 2 2 2" xfId="7969" xr:uid="{AB9C3B0B-8618-41BA-A94D-851D39F78192}"/>
    <cellStyle name="40% - Accent4 2 2 2 2 3" xfId="5824" xr:uid="{80E82DE2-C2FF-479F-81C7-04DF1037884F}"/>
    <cellStyle name="40% - Accent4 2 2 2 2 4" xfId="1520" xr:uid="{73EE7F64-6237-4F4F-90FF-4A805096BBCC}"/>
    <cellStyle name="40% - Accent4 2 2 2 3" xfId="1935" xr:uid="{7EF102F0-A9E9-45C7-9090-656B45262A16}"/>
    <cellStyle name="40% - Accent4 2 2 2 3 2" xfId="4164" xr:uid="{5707AE5A-5F1D-4AFD-A214-73351D528B53}"/>
    <cellStyle name="40% - Accent4 2 2 2 3 2 2" xfId="8382" xr:uid="{06F3096A-A244-45D0-9C43-91795C848DED}"/>
    <cellStyle name="40% - Accent4 2 2 2 3 3" xfId="6237" xr:uid="{DEA49A97-2FB6-40C8-885F-66E49762AF60}"/>
    <cellStyle name="40% - Accent4 2 2 2 4" xfId="2348" xr:uid="{6CB933C3-0051-4169-A61D-ADBADC96FDD0}"/>
    <cellStyle name="40% - Accent4 2 2 2 4 2" xfId="4577" xr:uid="{54023948-3306-4041-ABF6-4E55F9096800}"/>
    <cellStyle name="40% - Accent4 2 2 2 4 2 2" xfId="8795" xr:uid="{BF795EF4-CCA2-4E0C-B811-346C917FDD46}"/>
    <cellStyle name="40% - Accent4 2 2 2 4 3" xfId="6650" xr:uid="{51BB18EC-637F-4A4B-BF12-0A97F82B538F}"/>
    <cellStyle name="40% - Accent4 2 2 2 5" xfId="2761" xr:uid="{97F0A84A-B373-4DF1-8229-3ED568147796}"/>
    <cellStyle name="40% - Accent4 2 2 2 5 2" xfId="4990" xr:uid="{7C50B215-2C03-4729-B62F-3229947969D6}"/>
    <cellStyle name="40% - Accent4 2 2 2 5 2 2" xfId="9208" xr:uid="{BDF9555A-0C24-4407-96E3-9C3FF686895B}"/>
    <cellStyle name="40% - Accent4 2 2 2 5 3" xfId="7063" xr:uid="{EC6A0C90-A0E7-43AF-A159-672A8E79D71F}"/>
    <cellStyle name="40% - Accent4 2 2 2 6" xfId="3174" xr:uid="{AAF06F0D-255F-44D8-97EF-B6E8135F7B42}"/>
    <cellStyle name="40% - Accent4 2 2 2 6 2" xfId="7476" xr:uid="{9B3D012C-497C-4B02-98D0-10D2926EE079}"/>
    <cellStyle name="40% - Accent4 2 2 2 7" xfId="5410" xr:uid="{FACA80AA-0C84-4E23-AA7C-9090A67E70B8}"/>
    <cellStyle name="40% - Accent4 2 2 2 8" xfId="1106" xr:uid="{F28EF4F4-8D36-4C4C-BC2B-EF38E5F90195}"/>
    <cellStyle name="40% - Accent4 2 2 3" xfId="652" xr:uid="{00000000-0005-0000-0000-000095000000}"/>
    <cellStyle name="40% - Accent4 2 2 3 2" xfId="3750" xr:uid="{D6BDA8D1-C368-4AEE-A18F-32F8D62D009D}"/>
    <cellStyle name="40% - Accent4 2 2 3 2 2" xfId="7968" xr:uid="{6EFA4BA2-5488-44C5-BCAE-CE5B4DDF54F7}"/>
    <cellStyle name="40% - Accent4 2 2 3 3" xfId="5823" xr:uid="{7ADF2E5E-9699-4CFE-BE96-A16A8F5A5439}"/>
    <cellStyle name="40% - Accent4 2 2 3 4" xfId="1519" xr:uid="{7FB8BC36-E8F1-41FF-B1E8-778D4AC3D05B}"/>
    <cellStyle name="40% - Accent4 2 2 4" xfId="1934" xr:uid="{5FF75194-D06F-4403-9026-41715037B107}"/>
    <cellStyle name="40% - Accent4 2 2 4 2" xfId="4163" xr:uid="{6EF77B2F-83A4-427C-81D8-D7883045ACFA}"/>
    <cellStyle name="40% - Accent4 2 2 4 2 2" xfId="8381" xr:uid="{6B6DFFE8-D230-4F86-A220-1FC3FFF81F3D}"/>
    <cellStyle name="40% - Accent4 2 2 4 3" xfId="6236" xr:uid="{F73224AE-876A-47A9-9717-3D2A87B368BF}"/>
    <cellStyle name="40% - Accent4 2 2 5" xfId="2347" xr:uid="{AE0DB569-3B49-474F-8DC0-7321126025AB}"/>
    <cellStyle name="40% - Accent4 2 2 5 2" xfId="4576" xr:uid="{E29CA675-39C1-4FF1-952D-38EF866079B6}"/>
    <cellStyle name="40% - Accent4 2 2 5 2 2" xfId="8794" xr:uid="{2B61EBA2-8D93-4EF4-BCE8-401019F29D89}"/>
    <cellStyle name="40% - Accent4 2 2 5 3" xfId="6649" xr:uid="{81395DB3-3DF5-49E6-A0A6-16F6C4AA3545}"/>
    <cellStyle name="40% - Accent4 2 2 6" xfId="2760" xr:uid="{CBE78821-2364-4498-8780-CC778D815891}"/>
    <cellStyle name="40% - Accent4 2 2 6 2" xfId="4989" xr:uid="{974DAF86-3E36-4880-AB59-E90B89906193}"/>
    <cellStyle name="40% - Accent4 2 2 6 2 2" xfId="9207" xr:uid="{08B77769-7FA6-4850-A925-6B6EEAD639CB}"/>
    <cellStyle name="40% - Accent4 2 2 6 3" xfId="7062" xr:uid="{7A0DDCEF-AD54-4743-B8F2-882BFF0B2087}"/>
    <cellStyle name="40% - Accent4 2 2 7" xfId="3173" xr:uid="{D04AF39B-D126-4518-854F-A0144E0838C2}"/>
    <cellStyle name="40% - Accent4 2 2 7 2" xfId="7475" xr:uid="{BE8741F3-7F2D-41C7-83C7-097FAEEB2424}"/>
    <cellStyle name="40% - Accent4 2 2 8" xfId="5409" xr:uid="{24E56270-BC07-4EBA-8AE8-42FC8A553A9A}"/>
    <cellStyle name="40% - Accent4 2 2 9" xfId="1105" xr:uid="{CBCCDFC9-B3DF-40D6-BBA3-DACB011405B0}"/>
    <cellStyle name="40% - Accent4 2 3" xfId="77" xr:uid="{00000000-0005-0000-0000-000096000000}"/>
    <cellStyle name="40% - Accent4 2 3 2" xfId="654" xr:uid="{00000000-0005-0000-0000-000097000000}"/>
    <cellStyle name="40% - Accent4 2 3 2 2" xfId="3752" xr:uid="{33C0D9A6-556B-4D7F-83B8-449AA731318E}"/>
    <cellStyle name="40% - Accent4 2 3 2 2 2" xfId="7970" xr:uid="{B8447688-0EB7-414B-8775-A7B8FCC355D1}"/>
    <cellStyle name="40% - Accent4 2 3 2 3" xfId="5825" xr:uid="{79711C25-3E86-424E-A9B7-3DFB8B0D1EE7}"/>
    <cellStyle name="40% - Accent4 2 3 2 4" xfId="1521" xr:uid="{D8CC23C8-E6DD-4060-B727-6E345E884F28}"/>
    <cellStyle name="40% - Accent4 2 3 3" xfId="1936" xr:uid="{1A8019EF-4F5F-4715-AFC6-BF3F48994D43}"/>
    <cellStyle name="40% - Accent4 2 3 3 2" xfId="4165" xr:uid="{2F51AA5C-1782-4E7C-984A-EB08000E8255}"/>
    <cellStyle name="40% - Accent4 2 3 3 2 2" xfId="8383" xr:uid="{459B81D0-3CF3-4F60-B691-9BB7042C7F63}"/>
    <cellStyle name="40% - Accent4 2 3 3 3" xfId="6238" xr:uid="{77EFF1B3-6FBC-4FB3-9E90-1C0F80105AA7}"/>
    <cellStyle name="40% - Accent4 2 3 4" xfId="2349" xr:uid="{D56D0B63-C23E-4659-9218-E11234CE7339}"/>
    <cellStyle name="40% - Accent4 2 3 4 2" xfId="4578" xr:uid="{E807A105-568A-4B22-B3DD-759E4A866B28}"/>
    <cellStyle name="40% - Accent4 2 3 4 2 2" xfId="8796" xr:uid="{C66A52F4-2044-4AAD-B0E2-2D8307FFACA3}"/>
    <cellStyle name="40% - Accent4 2 3 4 3" xfId="6651" xr:uid="{B0661EF7-7D85-4762-8C9F-2903EBED3DBF}"/>
    <cellStyle name="40% - Accent4 2 3 5" xfId="2762" xr:uid="{9FD5704C-4717-44BD-897A-C2BEEFC354ED}"/>
    <cellStyle name="40% - Accent4 2 3 5 2" xfId="4991" xr:uid="{B487C795-9658-4028-B42F-12EF895607F1}"/>
    <cellStyle name="40% - Accent4 2 3 5 2 2" xfId="9209" xr:uid="{54752963-1017-420A-A803-80F05951148E}"/>
    <cellStyle name="40% - Accent4 2 3 5 3" xfId="7064" xr:uid="{51ED26CE-E8B4-43CD-84E7-C24D0575B6C9}"/>
    <cellStyle name="40% - Accent4 2 3 6" xfId="3175" xr:uid="{8A47C6DF-A2EB-4E37-9D08-077F7A0E3E39}"/>
    <cellStyle name="40% - Accent4 2 3 6 2" xfId="7477" xr:uid="{20458B53-36AC-4F35-B572-AA2FB9607645}"/>
    <cellStyle name="40% - Accent4 2 3 7" xfId="5411" xr:uid="{C28CD882-25FC-44AE-8321-682D420533AA}"/>
    <cellStyle name="40% - Accent4 2 3 8" xfId="1107" xr:uid="{5E65E758-4441-48EF-A1FC-A8118E5FB3FF}"/>
    <cellStyle name="40% - Accent4 2 4" xfId="651" xr:uid="{00000000-0005-0000-0000-000098000000}"/>
    <cellStyle name="40% - Accent4 2 4 2" xfId="3749" xr:uid="{0C5A1777-89C9-4D62-A81E-91513F8F64EE}"/>
    <cellStyle name="40% - Accent4 2 4 2 2" xfId="7967" xr:uid="{20BD5B78-E6E9-40DF-8DA8-06E31F946DB8}"/>
    <cellStyle name="40% - Accent4 2 4 3" xfId="5822" xr:uid="{0645BAC8-B39E-4731-90FB-3988FEFBAC47}"/>
    <cellStyle name="40% - Accent4 2 4 4" xfId="1518" xr:uid="{DBABA1D1-53C2-49E4-8AF8-0D315142018F}"/>
    <cellStyle name="40% - Accent4 2 5" xfId="1933" xr:uid="{23F385FC-4A43-4FC1-8771-203E7D5DAA5D}"/>
    <cellStyle name="40% - Accent4 2 5 2" xfId="4162" xr:uid="{F9B95BE0-135D-44A5-8710-1FDAFB1D4A4C}"/>
    <cellStyle name="40% - Accent4 2 5 2 2" xfId="8380" xr:uid="{A9BA60A4-F17A-438E-9754-FB623800C62E}"/>
    <cellStyle name="40% - Accent4 2 5 3" xfId="6235" xr:uid="{89E44C6C-922C-4DF3-B8B9-B9878D548636}"/>
    <cellStyle name="40% - Accent4 2 6" xfId="2346" xr:uid="{6CCB206C-FD2D-420B-B2BC-8CE02FAD729D}"/>
    <cellStyle name="40% - Accent4 2 6 2" xfId="4575" xr:uid="{E9E7B18B-A27B-44F1-B56C-A9541AB6C90F}"/>
    <cellStyle name="40% - Accent4 2 6 2 2" xfId="8793" xr:uid="{73202A1A-8ECA-42FD-80C1-74BF04F693FD}"/>
    <cellStyle name="40% - Accent4 2 6 3" xfId="6648" xr:uid="{4216EB55-E34E-49E4-AD88-3143DCCC7875}"/>
    <cellStyle name="40% - Accent4 2 7" xfId="2759" xr:uid="{E2023B7F-A2FA-4EE5-93CE-DF868CB8DD89}"/>
    <cellStyle name="40% - Accent4 2 7 2" xfId="4988" xr:uid="{FC706649-AD5C-46A5-8C87-1B9D82CC8604}"/>
    <cellStyle name="40% - Accent4 2 7 2 2" xfId="9206" xr:uid="{0AAEE104-58A7-469A-9B34-1E440B9B8DA1}"/>
    <cellStyle name="40% - Accent4 2 7 3" xfId="7061" xr:uid="{D84DFC77-5D33-4BC2-B496-54AA3D4DEF14}"/>
    <cellStyle name="40% - Accent4 2 8" xfId="3172" xr:uid="{9C47F37F-1FEF-4610-A3AE-FE89DD3A43F2}"/>
    <cellStyle name="40% - Accent4 2 8 2" xfId="7474" xr:uid="{5BA7AA40-8D6B-4F80-87D3-973EF5A77ACF}"/>
    <cellStyle name="40% - Accent4 2 9" xfId="5408" xr:uid="{AE6B2B32-B107-4271-A07A-B9369F8F192A}"/>
    <cellStyle name="40% - Accent4 3" xfId="78" xr:uid="{00000000-0005-0000-0000-000099000000}"/>
    <cellStyle name="40% - Accent4 3 2" xfId="79" xr:uid="{00000000-0005-0000-0000-00009A000000}"/>
    <cellStyle name="40% - Accent4 3 2 2" xfId="656" xr:uid="{00000000-0005-0000-0000-00009B000000}"/>
    <cellStyle name="40% - Accent4 3 2 2 2" xfId="3754" xr:uid="{2A764356-10C9-4703-A57E-8EA853252859}"/>
    <cellStyle name="40% - Accent4 3 2 2 2 2" xfId="7972" xr:uid="{4D189CF5-4A4F-42B0-85FE-A85A4C9D1EE5}"/>
    <cellStyle name="40% - Accent4 3 2 2 3" xfId="5827" xr:uid="{65A240FF-E5BF-4FB1-80D8-777923C9AD0B}"/>
    <cellStyle name="40% - Accent4 3 2 2 4" xfId="1523" xr:uid="{8FDBD666-3D61-4D3A-90A8-CE089BB2FBD7}"/>
    <cellStyle name="40% - Accent4 3 2 3" xfId="1938" xr:uid="{9F26DBAD-3F7D-4508-96A8-9D0206CE6468}"/>
    <cellStyle name="40% - Accent4 3 2 3 2" xfId="4167" xr:uid="{05012AD0-60ED-4FC4-9617-31C0099CD62E}"/>
    <cellStyle name="40% - Accent4 3 2 3 2 2" xfId="8385" xr:uid="{0EA7F94D-62E3-4190-9528-325B6CBF2FB7}"/>
    <cellStyle name="40% - Accent4 3 2 3 3" xfId="6240" xr:uid="{8EA74AF8-A444-4A73-BA31-17AB8C3A3645}"/>
    <cellStyle name="40% - Accent4 3 2 4" xfId="2351" xr:uid="{7B3B088D-0E98-4059-99A9-6F0FB5AB68E7}"/>
    <cellStyle name="40% - Accent4 3 2 4 2" xfId="4580" xr:uid="{BCF2D535-614B-4709-AA8E-6251D74A2F42}"/>
    <cellStyle name="40% - Accent4 3 2 4 2 2" xfId="8798" xr:uid="{85071F71-B559-456D-83A9-16C73398DDBD}"/>
    <cellStyle name="40% - Accent4 3 2 4 3" xfId="6653" xr:uid="{646DD3BE-72DD-4BE8-B40F-683F8EDD20F1}"/>
    <cellStyle name="40% - Accent4 3 2 5" xfId="2764" xr:uid="{C538E9E4-A8A4-436E-A02D-80BB1BBCDF8D}"/>
    <cellStyle name="40% - Accent4 3 2 5 2" xfId="4993" xr:uid="{6BC9B2BF-26F5-4A9D-B5D8-0C173A8A4D06}"/>
    <cellStyle name="40% - Accent4 3 2 5 2 2" xfId="9211" xr:uid="{41E4A008-7186-4BF4-9AFF-813E7F02EEE6}"/>
    <cellStyle name="40% - Accent4 3 2 5 3" xfId="7066" xr:uid="{62358E7E-48A2-4135-BB27-689C57840467}"/>
    <cellStyle name="40% - Accent4 3 2 6" xfId="3177" xr:uid="{73008F39-7807-4295-B6CB-5CCE65A65963}"/>
    <cellStyle name="40% - Accent4 3 2 6 2" xfId="7479" xr:uid="{EDB38A68-B27E-4019-AB3B-409BEE18FF66}"/>
    <cellStyle name="40% - Accent4 3 2 7" xfId="5413" xr:uid="{E2E813FE-33EB-4BF4-9900-7790CF49ACA9}"/>
    <cellStyle name="40% - Accent4 3 2 8" xfId="1109" xr:uid="{8383F8F7-A5E8-492D-9442-9D0CCF2B7319}"/>
    <cellStyle name="40% - Accent4 3 3" xfId="655" xr:uid="{00000000-0005-0000-0000-00009C000000}"/>
    <cellStyle name="40% - Accent4 3 3 2" xfId="3753" xr:uid="{72281440-C7FE-4296-8597-7175D123B4BE}"/>
    <cellStyle name="40% - Accent4 3 3 2 2" xfId="7971" xr:uid="{EC748266-B9D9-44CF-931F-EDDF49151FA8}"/>
    <cellStyle name="40% - Accent4 3 3 3" xfId="5826" xr:uid="{1A0B9A92-0F31-47FC-AF83-87D1E5F0CB3E}"/>
    <cellStyle name="40% - Accent4 3 3 4" xfId="1522" xr:uid="{FA32313E-9719-4ABD-B8EF-FFB0FA6413FE}"/>
    <cellStyle name="40% - Accent4 3 4" xfId="1937" xr:uid="{A53EE673-52F4-44DC-BFE9-CC07EABC6565}"/>
    <cellStyle name="40% - Accent4 3 4 2" xfId="4166" xr:uid="{2D69E11A-42FC-433C-8899-880208001F4F}"/>
    <cellStyle name="40% - Accent4 3 4 2 2" xfId="8384" xr:uid="{ED136EE8-251A-47FF-A153-0939006D5949}"/>
    <cellStyle name="40% - Accent4 3 4 3" xfId="6239" xr:uid="{88E6CCDD-6B69-4D7A-BEB9-C9AC2852D9EF}"/>
    <cellStyle name="40% - Accent4 3 5" xfId="2350" xr:uid="{A1F532C9-8588-47F7-A2E1-BF7086208BE8}"/>
    <cellStyle name="40% - Accent4 3 5 2" xfId="4579" xr:uid="{388D3212-DFF1-45E9-AD2A-2A75A639017E}"/>
    <cellStyle name="40% - Accent4 3 5 2 2" xfId="8797" xr:uid="{1ABCDDBA-D1E2-4C09-AE8B-671A3B501A89}"/>
    <cellStyle name="40% - Accent4 3 5 3" xfId="6652" xr:uid="{0C8C3C81-A7F1-4BC5-9AED-36C0A07289D0}"/>
    <cellStyle name="40% - Accent4 3 6" xfId="2763" xr:uid="{D10654FC-4389-4AD0-B4E1-A10F26B63867}"/>
    <cellStyle name="40% - Accent4 3 6 2" xfId="4992" xr:uid="{035F643B-F2E6-4BDF-893E-C6827FCA12EA}"/>
    <cellStyle name="40% - Accent4 3 6 2 2" xfId="9210" xr:uid="{AE6C3957-0119-4644-B0F2-3A39C0250F6E}"/>
    <cellStyle name="40% - Accent4 3 6 3" xfId="7065" xr:uid="{F345E5E1-BBC4-4C02-8355-09624D3313BE}"/>
    <cellStyle name="40% - Accent4 3 7" xfId="3176" xr:uid="{95BDDCF9-705E-4CA7-B05F-1BA0AE75F73C}"/>
    <cellStyle name="40% - Accent4 3 7 2" xfId="7478" xr:uid="{DF54A08D-2FDA-424F-AA85-2191B3309E29}"/>
    <cellStyle name="40% - Accent4 3 8" xfId="5412" xr:uid="{7D8BE554-A7A8-44C1-BBB6-D750E5FF918E}"/>
    <cellStyle name="40% - Accent4 3 9" xfId="1108" xr:uid="{8CC0CAD0-D5E4-43E6-BFC7-6B026DFD8C53}"/>
    <cellStyle name="40% - Accent4 4" xfId="80" xr:uid="{00000000-0005-0000-0000-00009D000000}"/>
    <cellStyle name="40% - Accent4 4 2" xfId="657" xr:uid="{00000000-0005-0000-0000-00009E000000}"/>
    <cellStyle name="40% - Accent4 4 2 2" xfId="3755" xr:uid="{E85448D9-CE85-4C9D-BFFC-71B5A01E2A1B}"/>
    <cellStyle name="40% - Accent4 4 2 2 2" xfId="7973" xr:uid="{FC9D445F-331B-4F98-9091-2A56511A8CAB}"/>
    <cellStyle name="40% - Accent4 4 2 3" xfId="5828" xr:uid="{4B7C25F2-FA96-4349-AEFF-4B3CCF7F9FF2}"/>
    <cellStyle name="40% - Accent4 4 2 4" xfId="1524" xr:uid="{0531F6EC-F045-4899-9C6E-E7DCEB0812D8}"/>
    <cellStyle name="40% - Accent4 4 3" xfId="1939" xr:uid="{25E5E70F-F904-4F7D-95D9-ABFD9873CB20}"/>
    <cellStyle name="40% - Accent4 4 3 2" xfId="4168" xr:uid="{D09782FC-5588-48F8-BE04-587D8B73C358}"/>
    <cellStyle name="40% - Accent4 4 3 2 2" xfId="8386" xr:uid="{A5154B98-B6F3-4387-AFC2-72C8EF8792F8}"/>
    <cellStyle name="40% - Accent4 4 3 3" xfId="6241" xr:uid="{872F2EB1-64C9-470C-80DD-8F019440E786}"/>
    <cellStyle name="40% - Accent4 4 4" xfId="2352" xr:uid="{F78FD5DF-9A41-46FF-BC89-82013D044924}"/>
    <cellStyle name="40% - Accent4 4 4 2" xfId="4581" xr:uid="{C69D9E28-D96B-4496-9E52-A5ECCE269CCF}"/>
    <cellStyle name="40% - Accent4 4 4 2 2" xfId="8799" xr:uid="{3E929891-6C41-4963-90A9-8E9E555D721B}"/>
    <cellStyle name="40% - Accent4 4 4 3" xfId="6654" xr:uid="{8CF39C2B-136C-4E84-84AF-F7347576D29A}"/>
    <cellStyle name="40% - Accent4 4 5" xfId="2765" xr:uid="{CA798826-3366-4541-B5F7-5BD2FFB5FDC2}"/>
    <cellStyle name="40% - Accent4 4 5 2" xfId="4994" xr:uid="{C06A5082-4E37-4C7E-A097-0E58B0A20C51}"/>
    <cellStyle name="40% - Accent4 4 5 2 2" xfId="9212" xr:uid="{9266B507-2FC6-4457-9513-84ED3687A3E2}"/>
    <cellStyle name="40% - Accent4 4 5 3" xfId="7067" xr:uid="{3B0B0C84-C761-4E8E-AD70-A7E6EBCBECC2}"/>
    <cellStyle name="40% - Accent4 4 6" xfId="3178" xr:uid="{EA128739-043B-4A6C-97DC-8EE04B9B986C}"/>
    <cellStyle name="40% - Accent4 4 6 2" xfId="7480" xr:uid="{01D32F9F-E0DF-471A-B300-F123711A3CBB}"/>
    <cellStyle name="40% - Accent4 4 7" xfId="5414" xr:uid="{08B9167B-63CB-4B0F-BA40-779DFF5838AF}"/>
    <cellStyle name="40% - Accent4 4 8" xfId="1110" xr:uid="{3CE70FFE-7672-4945-998E-C328AC50FD82}"/>
    <cellStyle name="40% - Accent4 5" xfId="650" xr:uid="{00000000-0005-0000-0000-00009F000000}"/>
    <cellStyle name="40% - Accent4 5 2" xfId="3748" xr:uid="{8F434502-AC1F-482D-9499-058FDF3EBEE1}"/>
    <cellStyle name="40% - Accent4 5 2 2" xfId="7966" xr:uid="{9F67B045-565D-43EE-880D-A8D037880E73}"/>
    <cellStyle name="40% - Accent4 5 3" xfId="5821" xr:uid="{D22EBCFA-F7AB-45FB-AE0A-EED70ECB67B2}"/>
    <cellStyle name="40% - Accent4 5 4" xfId="1517" xr:uid="{6CC92729-E89F-4DA2-9B1C-4F7187428767}"/>
    <cellStyle name="40% - Accent4 6" xfId="1932" xr:uid="{7FE32431-557A-47C2-B296-6D31ADB8CAFA}"/>
    <cellStyle name="40% - Accent4 6 2" xfId="4161" xr:uid="{7A8A39EB-5BCC-4815-8121-1BFD4DD67062}"/>
    <cellStyle name="40% - Accent4 6 2 2" xfId="8379" xr:uid="{9FEDCA30-9191-48BF-A616-D4D6293D1DF0}"/>
    <cellStyle name="40% - Accent4 6 3" xfId="6234" xr:uid="{535B0BD1-72BF-485C-A16B-F4652FC3221F}"/>
    <cellStyle name="40% - Accent4 7" xfId="2345" xr:uid="{6368E029-A614-444F-82CE-8F66774ED103}"/>
    <cellStyle name="40% - Accent4 7 2" xfId="4574" xr:uid="{252C1964-84BC-444A-B684-21DF0EE801FF}"/>
    <cellStyle name="40% - Accent4 7 2 2" xfId="8792" xr:uid="{99294105-4EF5-4AD9-BE6A-6D19303585E4}"/>
    <cellStyle name="40% - Accent4 7 3" xfId="6647" xr:uid="{DDB8843D-D68A-4568-A0B1-330665F7FD6A}"/>
    <cellStyle name="40% - Accent4 8" xfId="2758" xr:uid="{0DCBB2F8-9C46-484F-9B8B-FCF896D6786D}"/>
    <cellStyle name="40% - Accent4 8 2" xfId="4987" xr:uid="{EE4EC1BC-837E-481E-81B8-5CF8978A0F09}"/>
    <cellStyle name="40% - Accent4 8 2 2" xfId="9205" xr:uid="{315334D3-D29E-4B81-B247-43E16B5A3F05}"/>
    <cellStyle name="40% - Accent4 8 3" xfId="7060" xr:uid="{D536450D-995C-48CD-AF12-B390A57B51DC}"/>
    <cellStyle name="40% - Accent4 9" xfId="3171" xr:uid="{F4534C66-2728-403A-A945-E9DA27AB26BD}"/>
    <cellStyle name="40% - Accent4 9 2" xfId="7473" xr:uid="{79F32699-7754-407A-80A5-A581A413874B}"/>
    <cellStyle name="40% - Accent5" xfId="81" builtinId="47" customBuiltin="1"/>
    <cellStyle name="40% - Accent5 10" xfId="5415" xr:uid="{B82C9446-EA3A-4162-8D36-9D39CE46C0F5}"/>
    <cellStyle name="40% - Accent5 11" xfId="1111" xr:uid="{341A3779-304A-4F71-8365-0F938D964803}"/>
    <cellStyle name="40% - Accent5 2" xfId="82" xr:uid="{00000000-0005-0000-0000-0000A1000000}"/>
    <cellStyle name="40% - Accent5 2 10" xfId="1112" xr:uid="{99BFEDBD-7C81-49CB-87B8-E682497A4C8C}"/>
    <cellStyle name="40% - Accent5 2 2" xfId="83" xr:uid="{00000000-0005-0000-0000-0000A2000000}"/>
    <cellStyle name="40% - Accent5 2 2 2" xfId="84" xr:uid="{00000000-0005-0000-0000-0000A3000000}"/>
    <cellStyle name="40% - Accent5 2 2 2 2" xfId="661" xr:uid="{00000000-0005-0000-0000-0000A4000000}"/>
    <cellStyle name="40% - Accent5 2 2 2 2 2" xfId="3759" xr:uid="{B673495B-EDE9-4EBC-8476-0C4EA2026A94}"/>
    <cellStyle name="40% - Accent5 2 2 2 2 2 2" xfId="7977" xr:uid="{9A4C3420-826B-4654-8F5F-5019B0649A89}"/>
    <cellStyle name="40% - Accent5 2 2 2 2 3" xfId="5832" xr:uid="{22206760-648B-4096-BF84-6535CBEA2413}"/>
    <cellStyle name="40% - Accent5 2 2 2 2 4" xfId="1528" xr:uid="{49446576-D766-4500-952A-E00D7A52DD2C}"/>
    <cellStyle name="40% - Accent5 2 2 2 3" xfId="1943" xr:uid="{BAF01042-79EE-4B93-8971-D26020C539A8}"/>
    <cellStyle name="40% - Accent5 2 2 2 3 2" xfId="4172" xr:uid="{4B479B96-B18B-4681-8E62-014401CEF2E2}"/>
    <cellStyle name="40% - Accent5 2 2 2 3 2 2" xfId="8390" xr:uid="{E9C3CAEE-4B88-456A-BF50-60D28E864BB1}"/>
    <cellStyle name="40% - Accent5 2 2 2 3 3" xfId="6245" xr:uid="{31F0CB6D-559B-456E-BA76-0282F8A3F819}"/>
    <cellStyle name="40% - Accent5 2 2 2 4" xfId="2356" xr:uid="{66112B85-F430-4597-8D03-D4F184DA99C3}"/>
    <cellStyle name="40% - Accent5 2 2 2 4 2" xfId="4585" xr:uid="{2979A6BE-8184-40E7-A7CA-6B5070880821}"/>
    <cellStyle name="40% - Accent5 2 2 2 4 2 2" xfId="8803" xr:uid="{BB4403C6-09B8-4242-B965-69A6F3EA9F8E}"/>
    <cellStyle name="40% - Accent5 2 2 2 4 3" xfId="6658" xr:uid="{751EDE9A-27AE-4E87-89F9-AE3CEDADD92C}"/>
    <cellStyle name="40% - Accent5 2 2 2 5" xfId="2769" xr:uid="{754E7287-15AA-4640-AF72-5100AC8C8C31}"/>
    <cellStyle name="40% - Accent5 2 2 2 5 2" xfId="4998" xr:uid="{34D5B5A8-3767-4F93-88CB-4C79BA463B4F}"/>
    <cellStyle name="40% - Accent5 2 2 2 5 2 2" xfId="9216" xr:uid="{22412A4D-B8BE-4653-BE32-DDDD93095631}"/>
    <cellStyle name="40% - Accent5 2 2 2 5 3" xfId="7071" xr:uid="{754A7752-9017-4933-BAD3-641889CE9896}"/>
    <cellStyle name="40% - Accent5 2 2 2 6" xfId="3182" xr:uid="{EB59BDF1-93F9-4B5A-AA69-8216D240A4C5}"/>
    <cellStyle name="40% - Accent5 2 2 2 6 2" xfId="7484" xr:uid="{F2359FF0-DCE6-4B4F-953E-C567AFE0B1D0}"/>
    <cellStyle name="40% - Accent5 2 2 2 7" xfId="5418" xr:uid="{2CBB9111-BECD-4FAF-ACE0-AD389D0071B6}"/>
    <cellStyle name="40% - Accent5 2 2 2 8" xfId="1114" xr:uid="{D1494FCF-1222-43D6-B8F9-3580B4FFB9E1}"/>
    <cellStyle name="40% - Accent5 2 2 3" xfId="660" xr:uid="{00000000-0005-0000-0000-0000A5000000}"/>
    <cellStyle name="40% - Accent5 2 2 3 2" xfId="3758" xr:uid="{00F34A31-C661-4D5E-B528-6B7C9D226FE9}"/>
    <cellStyle name="40% - Accent5 2 2 3 2 2" xfId="7976" xr:uid="{E77C0ACA-54E0-4299-AB59-C79945CCBB35}"/>
    <cellStyle name="40% - Accent5 2 2 3 3" xfId="5831" xr:uid="{8C6C04BB-73E4-4798-A194-7D27CD8B1D65}"/>
    <cellStyle name="40% - Accent5 2 2 3 4" xfId="1527" xr:uid="{BFD55D9A-E6E0-4866-9115-98456B4415A3}"/>
    <cellStyle name="40% - Accent5 2 2 4" xfId="1942" xr:uid="{B02CC7CC-05E7-4972-86C9-5F17A305EACD}"/>
    <cellStyle name="40% - Accent5 2 2 4 2" xfId="4171" xr:uid="{51044EF9-EC9F-4DEE-B648-85CD720D4FC8}"/>
    <cellStyle name="40% - Accent5 2 2 4 2 2" xfId="8389" xr:uid="{B11528B3-7EC6-451A-AA07-F6EEBBE4D3E6}"/>
    <cellStyle name="40% - Accent5 2 2 4 3" xfId="6244" xr:uid="{A870B016-ADC0-403F-BF85-3F82C6DCF7C0}"/>
    <cellStyle name="40% - Accent5 2 2 5" xfId="2355" xr:uid="{DCEC8EFA-36F7-49FE-A7E6-2950B135E87C}"/>
    <cellStyle name="40% - Accent5 2 2 5 2" xfId="4584" xr:uid="{E54BDC8D-BE4B-4718-81E7-60F9466E5E80}"/>
    <cellStyle name="40% - Accent5 2 2 5 2 2" xfId="8802" xr:uid="{BEAA5576-05BA-461B-B4D0-6B329EE486E3}"/>
    <cellStyle name="40% - Accent5 2 2 5 3" xfId="6657" xr:uid="{52884D2A-DF37-4673-BB1D-F4819F99C9EB}"/>
    <cellStyle name="40% - Accent5 2 2 6" xfId="2768" xr:uid="{D7BF078E-34AC-49F7-B673-D1DB67696ECF}"/>
    <cellStyle name="40% - Accent5 2 2 6 2" xfId="4997" xr:uid="{7EAD33DF-AB17-4B8D-A63A-C667155A6E7D}"/>
    <cellStyle name="40% - Accent5 2 2 6 2 2" xfId="9215" xr:uid="{56105546-21FB-49FD-912D-9B7414AAE0DA}"/>
    <cellStyle name="40% - Accent5 2 2 6 3" xfId="7070" xr:uid="{AB2A4F18-66E9-47F8-A5F0-AEB08D44F322}"/>
    <cellStyle name="40% - Accent5 2 2 7" xfId="3181" xr:uid="{B11C0D49-0C03-4034-A80F-DBBDF1F383CF}"/>
    <cellStyle name="40% - Accent5 2 2 7 2" xfId="7483" xr:uid="{52EA768D-A8E0-4CB5-9FDF-BF95B8AE293E}"/>
    <cellStyle name="40% - Accent5 2 2 8" xfId="5417" xr:uid="{168358A3-D5C4-474B-A0B3-CD7DE6DD0CC1}"/>
    <cellStyle name="40% - Accent5 2 2 9" xfId="1113" xr:uid="{A1BA58A5-E717-4EE3-8A3B-7E0D17DC7DDD}"/>
    <cellStyle name="40% - Accent5 2 3" xfId="85" xr:uid="{00000000-0005-0000-0000-0000A6000000}"/>
    <cellStyle name="40% - Accent5 2 3 2" xfId="662" xr:uid="{00000000-0005-0000-0000-0000A7000000}"/>
    <cellStyle name="40% - Accent5 2 3 2 2" xfId="3760" xr:uid="{BA7F37A0-4A4B-4D50-819E-D89C77A1900E}"/>
    <cellStyle name="40% - Accent5 2 3 2 2 2" xfId="7978" xr:uid="{99CBE5B2-3E0C-4056-9069-ACFF8EBCF45A}"/>
    <cellStyle name="40% - Accent5 2 3 2 3" xfId="5833" xr:uid="{6CD59B7D-61FB-489C-BE35-D1C87AE2FD96}"/>
    <cellStyle name="40% - Accent5 2 3 2 4" xfId="1529" xr:uid="{DF84DAC9-298A-47BB-9126-B9A22BDDDB88}"/>
    <cellStyle name="40% - Accent5 2 3 3" xfId="1944" xr:uid="{9AB5F8B6-BE3D-4915-B86C-6623E933F7C9}"/>
    <cellStyle name="40% - Accent5 2 3 3 2" xfId="4173" xr:uid="{86758CAC-4C71-49A6-B2FA-07B3E59C8E70}"/>
    <cellStyle name="40% - Accent5 2 3 3 2 2" xfId="8391" xr:uid="{0A58DCF5-3F2C-4320-8E6F-528872A8F0B5}"/>
    <cellStyle name="40% - Accent5 2 3 3 3" xfId="6246" xr:uid="{9DA8F976-C3C0-493F-9EBA-5EBB96BC9614}"/>
    <cellStyle name="40% - Accent5 2 3 4" xfId="2357" xr:uid="{CB412BAF-F6B5-4DC8-8671-F0E2152713C1}"/>
    <cellStyle name="40% - Accent5 2 3 4 2" xfId="4586" xr:uid="{E5249D7C-C610-4280-BCAB-F287D43F734C}"/>
    <cellStyle name="40% - Accent5 2 3 4 2 2" xfId="8804" xr:uid="{9FC193B5-C1BA-4883-9BDC-27D30870D1A3}"/>
    <cellStyle name="40% - Accent5 2 3 4 3" xfId="6659" xr:uid="{74B300FF-A25B-429C-BA7F-E3A8BC80C901}"/>
    <cellStyle name="40% - Accent5 2 3 5" xfId="2770" xr:uid="{03CB7DE6-DC85-47B6-831B-1CF76068C990}"/>
    <cellStyle name="40% - Accent5 2 3 5 2" xfId="4999" xr:uid="{955ED607-1282-4E9F-8A8B-A3718451044F}"/>
    <cellStyle name="40% - Accent5 2 3 5 2 2" xfId="9217" xr:uid="{F4FFE004-D847-40A0-9D6A-A8C382E0FD47}"/>
    <cellStyle name="40% - Accent5 2 3 5 3" xfId="7072" xr:uid="{6758AC2E-344E-418F-8637-F16CB005169C}"/>
    <cellStyle name="40% - Accent5 2 3 6" xfId="3183" xr:uid="{AE6D498E-BFAA-44B2-9CF4-EC8A4A8D6A22}"/>
    <cellStyle name="40% - Accent5 2 3 6 2" xfId="7485" xr:uid="{BF2C4A66-7C4B-43E7-863D-7ADD3CE5F6EE}"/>
    <cellStyle name="40% - Accent5 2 3 7" xfId="5419" xr:uid="{5C42280B-5892-48A7-BEE5-1CD3241E4DDC}"/>
    <cellStyle name="40% - Accent5 2 3 8" xfId="1115" xr:uid="{D5DAF326-3A2A-457D-96FF-EEAA953D460D}"/>
    <cellStyle name="40% - Accent5 2 4" xfId="659" xr:uid="{00000000-0005-0000-0000-0000A8000000}"/>
    <cellStyle name="40% - Accent5 2 4 2" xfId="3757" xr:uid="{535ED41A-2E66-46D2-BF61-E4B062F74334}"/>
    <cellStyle name="40% - Accent5 2 4 2 2" xfId="7975" xr:uid="{4753076D-552D-4226-8060-1C61F529CBA9}"/>
    <cellStyle name="40% - Accent5 2 4 3" xfId="5830" xr:uid="{4DBC1C8F-531F-4872-BDAF-F9C5DD5A921E}"/>
    <cellStyle name="40% - Accent5 2 4 4" xfId="1526" xr:uid="{8A0538F5-7633-481F-A9D8-AD9248E81F0F}"/>
    <cellStyle name="40% - Accent5 2 5" xfId="1941" xr:uid="{B2B65627-20DB-4BA4-816F-0C2C6AEA365B}"/>
    <cellStyle name="40% - Accent5 2 5 2" xfId="4170" xr:uid="{EC4D6E09-2349-4E45-ABC8-4DA892FA03DE}"/>
    <cellStyle name="40% - Accent5 2 5 2 2" xfId="8388" xr:uid="{A348FDE3-5327-4944-B3D6-F280BECF5EA0}"/>
    <cellStyle name="40% - Accent5 2 5 3" xfId="6243" xr:uid="{B0C55791-087A-4751-84A0-644B2C5E72AD}"/>
    <cellStyle name="40% - Accent5 2 6" xfId="2354" xr:uid="{EE1340D3-D7E4-4BD9-8694-91FF2B3B21C5}"/>
    <cellStyle name="40% - Accent5 2 6 2" xfId="4583" xr:uid="{5539B69D-74EB-435A-9312-2FE81C40215D}"/>
    <cellStyle name="40% - Accent5 2 6 2 2" xfId="8801" xr:uid="{56F73772-B81B-47C0-8A3F-C9D2D241EE62}"/>
    <cellStyle name="40% - Accent5 2 6 3" xfId="6656" xr:uid="{15EBE191-E167-4566-B7C2-F5F96FBFB352}"/>
    <cellStyle name="40% - Accent5 2 7" xfId="2767" xr:uid="{8C321F25-8692-49D6-B8C0-AA7BACF30331}"/>
    <cellStyle name="40% - Accent5 2 7 2" xfId="4996" xr:uid="{87450C08-932A-4720-B9E1-C7E8DE644749}"/>
    <cellStyle name="40% - Accent5 2 7 2 2" xfId="9214" xr:uid="{6A2AA597-DC7C-4C81-AD4B-22E7EA4798CA}"/>
    <cellStyle name="40% - Accent5 2 7 3" xfId="7069" xr:uid="{4011515F-3904-4D95-819F-9A5FF5F9613F}"/>
    <cellStyle name="40% - Accent5 2 8" xfId="3180" xr:uid="{160A0CB5-2DAE-405D-B383-1DCD58718332}"/>
    <cellStyle name="40% - Accent5 2 8 2" xfId="7482" xr:uid="{C9F6AB82-A78F-4434-8617-C8F1056B6309}"/>
    <cellStyle name="40% - Accent5 2 9" xfId="5416" xr:uid="{B5E2E955-3F39-4285-8C0E-D5566C3D374D}"/>
    <cellStyle name="40% - Accent5 3" xfId="86" xr:uid="{00000000-0005-0000-0000-0000A9000000}"/>
    <cellStyle name="40% - Accent5 3 2" xfId="87" xr:uid="{00000000-0005-0000-0000-0000AA000000}"/>
    <cellStyle name="40% - Accent5 3 2 2" xfId="664" xr:uid="{00000000-0005-0000-0000-0000AB000000}"/>
    <cellStyle name="40% - Accent5 3 2 2 2" xfId="3762" xr:uid="{0F9BBA1A-AF93-4069-AAE7-D6E631A8D753}"/>
    <cellStyle name="40% - Accent5 3 2 2 2 2" xfId="7980" xr:uid="{7E3BC073-9CE1-425D-971E-39A2A6DE6247}"/>
    <cellStyle name="40% - Accent5 3 2 2 3" xfId="5835" xr:uid="{E1D06C25-3F6D-49D7-B9CE-66B534C10511}"/>
    <cellStyle name="40% - Accent5 3 2 2 4" xfId="1531" xr:uid="{8908F95C-B231-4BD0-8E4E-C5E4FCDF7154}"/>
    <cellStyle name="40% - Accent5 3 2 3" xfId="1946" xr:uid="{9814E50C-AC84-437A-8F37-E31069B5EE3B}"/>
    <cellStyle name="40% - Accent5 3 2 3 2" xfId="4175" xr:uid="{6A11F464-1628-4D66-A75B-377967343DCF}"/>
    <cellStyle name="40% - Accent5 3 2 3 2 2" xfId="8393" xr:uid="{E43DF9C2-7EB6-4072-93D0-4E7F2DDF2EEE}"/>
    <cellStyle name="40% - Accent5 3 2 3 3" xfId="6248" xr:uid="{DD7A7575-0963-4A44-8728-884717A7D02A}"/>
    <cellStyle name="40% - Accent5 3 2 4" xfId="2359" xr:uid="{F073D45B-F7A6-4B78-8D41-0959920ADA4B}"/>
    <cellStyle name="40% - Accent5 3 2 4 2" xfId="4588" xr:uid="{EFF08096-18DC-4105-882F-607C88C5FD79}"/>
    <cellStyle name="40% - Accent5 3 2 4 2 2" xfId="8806" xr:uid="{65DB74CE-B801-42F4-ACC0-46806F6973A0}"/>
    <cellStyle name="40% - Accent5 3 2 4 3" xfId="6661" xr:uid="{505DA42C-5A95-4BC1-8FCA-EAA8A601D660}"/>
    <cellStyle name="40% - Accent5 3 2 5" xfId="2772" xr:uid="{09E83476-072D-412A-ABD8-AC20716131A2}"/>
    <cellStyle name="40% - Accent5 3 2 5 2" xfId="5001" xr:uid="{AF108F61-747A-49E4-A86C-26C9796B1A1B}"/>
    <cellStyle name="40% - Accent5 3 2 5 2 2" xfId="9219" xr:uid="{C63F33F3-61C4-4FAF-8A14-06C72F4C579A}"/>
    <cellStyle name="40% - Accent5 3 2 5 3" xfId="7074" xr:uid="{D28D1E85-7F93-41BE-8B69-B400698DF279}"/>
    <cellStyle name="40% - Accent5 3 2 6" xfId="3185" xr:uid="{DEFE1289-BC96-41DD-B793-6065A632CF0F}"/>
    <cellStyle name="40% - Accent5 3 2 6 2" xfId="7487" xr:uid="{C851EFF3-28E5-4AE4-B08A-773266172E54}"/>
    <cellStyle name="40% - Accent5 3 2 7" xfId="5421" xr:uid="{CCB722BB-B030-4AFD-A9F1-1D2E82D1A6C5}"/>
    <cellStyle name="40% - Accent5 3 2 8" xfId="1117" xr:uid="{38F004FD-79AC-4A70-BEE7-35B86CD27010}"/>
    <cellStyle name="40% - Accent5 3 3" xfId="663" xr:uid="{00000000-0005-0000-0000-0000AC000000}"/>
    <cellStyle name="40% - Accent5 3 3 2" xfId="3761" xr:uid="{38488494-3603-43DE-AE6B-FAC1602A1E75}"/>
    <cellStyle name="40% - Accent5 3 3 2 2" xfId="7979" xr:uid="{2FFDE8CC-A7E0-4CA0-914D-29C41E1C8080}"/>
    <cellStyle name="40% - Accent5 3 3 3" xfId="5834" xr:uid="{8D4B98BA-6B20-4CFC-A4B0-CEDEC9DD64A8}"/>
    <cellStyle name="40% - Accent5 3 3 4" xfId="1530" xr:uid="{D45319AC-C570-4B71-AD2C-7B8DBA1D9AFA}"/>
    <cellStyle name="40% - Accent5 3 4" xfId="1945" xr:uid="{C64284A0-F0A5-40D2-B549-5D70221AEC33}"/>
    <cellStyle name="40% - Accent5 3 4 2" xfId="4174" xr:uid="{F0BBF06C-E257-415A-B33B-E0B9C8D7B125}"/>
    <cellStyle name="40% - Accent5 3 4 2 2" xfId="8392" xr:uid="{B6199785-B735-40C0-A328-90C6CE8A2722}"/>
    <cellStyle name="40% - Accent5 3 4 3" xfId="6247" xr:uid="{6A75756E-B1B0-4733-BA32-AB099393EAF4}"/>
    <cellStyle name="40% - Accent5 3 5" xfId="2358" xr:uid="{FD8F02E0-FE57-4269-B6C6-E19645E11DD2}"/>
    <cellStyle name="40% - Accent5 3 5 2" xfId="4587" xr:uid="{AA336D97-A114-45E9-B6C6-310E7B25A007}"/>
    <cellStyle name="40% - Accent5 3 5 2 2" xfId="8805" xr:uid="{95CA99C6-45ED-42E8-8F24-06A4BE53A2C2}"/>
    <cellStyle name="40% - Accent5 3 5 3" xfId="6660" xr:uid="{14E5DCD5-FCA5-4186-A0D9-A127794E5540}"/>
    <cellStyle name="40% - Accent5 3 6" xfId="2771" xr:uid="{7730E866-0F6A-4DF2-A235-6175E154331D}"/>
    <cellStyle name="40% - Accent5 3 6 2" xfId="5000" xr:uid="{7F4CB2E6-DE7C-4B1B-BFD6-2DF53EA96713}"/>
    <cellStyle name="40% - Accent5 3 6 2 2" xfId="9218" xr:uid="{7C5123AE-679D-4703-89DB-B1CAF31F09EC}"/>
    <cellStyle name="40% - Accent5 3 6 3" xfId="7073" xr:uid="{24EC1E82-F25E-46F7-990C-27E9AB15C9B3}"/>
    <cellStyle name="40% - Accent5 3 7" xfId="3184" xr:uid="{302D11BF-23B0-485E-B92F-A9ECE21F5E22}"/>
    <cellStyle name="40% - Accent5 3 7 2" xfId="7486" xr:uid="{8BCACA0A-ACE7-4EB1-8833-BAEF15BBE303}"/>
    <cellStyle name="40% - Accent5 3 8" xfId="5420" xr:uid="{E8A4DEEF-AB6A-4999-89EE-906D02A08EB0}"/>
    <cellStyle name="40% - Accent5 3 9" xfId="1116" xr:uid="{D9C7C25E-BF28-4DF2-BDBD-D8BD8AB82127}"/>
    <cellStyle name="40% - Accent5 4" xfId="88" xr:uid="{00000000-0005-0000-0000-0000AD000000}"/>
    <cellStyle name="40% - Accent5 4 2" xfId="665" xr:uid="{00000000-0005-0000-0000-0000AE000000}"/>
    <cellStyle name="40% - Accent5 4 2 2" xfId="3763" xr:uid="{5B63642E-8E10-4CD9-9D87-E980F56151F5}"/>
    <cellStyle name="40% - Accent5 4 2 2 2" xfId="7981" xr:uid="{E1709D6F-5414-4397-A016-08B77AD924EF}"/>
    <cellStyle name="40% - Accent5 4 2 3" xfId="5836" xr:uid="{552A62F0-7643-4A14-A430-5FB6E594C5C4}"/>
    <cellStyle name="40% - Accent5 4 2 4" xfId="1532" xr:uid="{0B6886F4-7227-48CA-BA8C-F115653D147E}"/>
    <cellStyle name="40% - Accent5 4 3" xfId="1947" xr:uid="{BEB669C3-0B3C-49C9-B76C-FE0FB87EC7E1}"/>
    <cellStyle name="40% - Accent5 4 3 2" xfId="4176" xr:uid="{17D2076F-1F7D-47D6-B9D1-1D2AE4E5A80B}"/>
    <cellStyle name="40% - Accent5 4 3 2 2" xfId="8394" xr:uid="{BC738274-D8B2-477F-BA3B-B1A5FD411656}"/>
    <cellStyle name="40% - Accent5 4 3 3" xfId="6249" xr:uid="{4950E29E-460E-4D94-89DA-DAEBFE6E9BEC}"/>
    <cellStyle name="40% - Accent5 4 4" xfId="2360" xr:uid="{48C4EC3B-CB10-4340-8407-C3EE01453256}"/>
    <cellStyle name="40% - Accent5 4 4 2" xfId="4589" xr:uid="{0FE896FF-F924-4C0B-83FE-334809796BF3}"/>
    <cellStyle name="40% - Accent5 4 4 2 2" xfId="8807" xr:uid="{E9DC38FB-6BFC-40B9-8CEB-4666B14FA689}"/>
    <cellStyle name="40% - Accent5 4 4 3" xfId="6662" xr:uid="{C105FC71-B50A-4596-9ABC-485FF071EF18}"/>
    <cellStyle name="40% - Accent5 4 5" xfId="2773" xr:uid="{BAE6533C-776A-497D-ACBE-1E7E62C6F19E}"/>
    <cellStyle name="40% - Accent5 4 5 2" xfId="5002" xr:uid="{2C38E91E-75FC-4F2A-B00F-3D84FF0A28EA}"/>
    <cellStyle name="40% - Accent5 4 5 2 2" xfId="9220" xr:uid="{6CE9BA35-79FB-44B5-A1B9-2CD0177CF770}"/>
    <cellStyle name="40% - Accent5 4 5 3" xfId="7075" xr:uid="{57C87D90-9787-4294-A213-D14AB1BADF8A}"/>
    <cellStyle name="40% - Accent5 4 6" xfId="3186" xr:uid="{4C5C7F0C-9447-4F23-8D19-77218EB2B185}"/>
    <cellStyle name="40% - Accent5 4 6 2" xfId="7488" xr:uid="{1E64846D-5E3A-4CFD-9ECB-95C1CE7EA461}"/>
    <cellStyle name="40% - Accent5 4 7" xfId="5422" xr:uid="{F6378C7E-66A8-4D67-A2A1-2E59800EB3FC}"/>
    <cellStyle name="40% - Accent5 4 8" xfId="1118" xr:uid="{12AE5BA3-6F30-47ED-9DF4-1B64B60A31CB}"/>
    <cellStyle name="40% - Accent5 5" xfId="658" xr:uid="{00000000-0005-0000-0000-0000AF000000}"/>
    <cellStyle name="40% - Accent5 5 2" xfId="3756" xr:uid="{130DFE33-ABE2-4CC6-B745-930D47DEE081}"/>
    <cellStyle name="40% - Accent5 5 2 2" xfId="7974" xr:uid="{D1E711F0-231A-4766-83D6-E423A4B95175}"/>
    <cellStyle name="40% - Accent5 5 3" xfId="5829" xr:uid="{D0F43DCC-88DF-41C7-80A5-136E02FE2563}"/>
    <cellStyle name="40% - Accent5 5 4" xfId="1525" xr:uid="{CD264F4C-B656-4891-9802-109FB34C574B}"/>
    <cellStyle name="40% - Accent5 6" xfId="1940" xr:uid="{FAC419A0-9EC7-409C-ABFA-95865E69196C}"/>
    <cellStyle name="40% - Accent5 6 2" xfId="4169" xr:uid="{6906734C-8A42-4D45-84C4-86B77FD3C9DA}"/>
    <cellStyle name="40% - Accent5 6 2 2" xfId="8387" xr:uid="{01BCD863-7C5C-4F2D-8A33-E988BB867D48}"/>
    <cellStyle name="40% - Accent5 6 3" xfId="6242" xr:uid="{D10412D8-F861-4149-8717-801E4E900ACA}"/>
    <cellStyle name="40% - Accent5 7" xfId="2353" xr:uid="{D07E8C32-734E-406F-92A5-9E4E639AEF5E}"/>
    <cellStyle name="40% - Accent5 7 2" xfId="4582" xr:uid="{6D83BD6D-46EA-4B29-9B74-14592D8D890C}"/>
    <cellStyle name="40% - Accent5 7 2 2" xfId="8800" xr:uid="{50697FEA-7F7C-4B49-AA84-D3FAFB4B5782}"/>
    <cellStyle name="40% - Accent5 7 3" xfId="6655" xr:uid="{E885F3EA-665A-427A-976F-31AF2638E0E1}"/>
    <cellStyle name="40% - Accent5 8" xfId="2766" xr:uid="{95CE5D21-E9E5-4634-905F-E69A55A8B82D}"/>
    <cellStyle name="40% - Accent5 8 2" xfId="4995" xr:uid="{0C6D70BA-CB28-40EC-B5F9-73B49FBC820A}"/>
    <cellStyle name="40% - Accent5 8 2 2" xfId="9213" xr:uid="{A1E47F6E-75BC-47F0-B0B2-9055FAAE63B3}"/>
    <cellStyle name="40% - Accent5 8 3" xfId="7068" xr:uid="{10329B00-252E-4EB2-A215-B107F75FB139}"/>
    <cellStyle name="40% - Accent5 9" xfId="3179" xr:uid="{543B23E1-0858-4C25-8276-34587543AD93}"/>
    <cellStyle name="40% - Accent5 9 2" xfId="7481" xr:uid="{6CE267B9-E204-4560-857B-C0BB7033FE7D}"/>
    <cellStyle name="40% - Accent6" xfId="89" builtinId="51" customBuiltin="1"/>
    <cellStyle name="40% - Accent6 10" xfId="5423" xr:uid="{EDF1FA04-E894-49D8-81D5-306EE5268BA4}"/>
    <cellStyle name="40% - Accent6 11" xfId="1119" xr:uid="{B19212FA-56A8-4DE4-8774-A7EF24022B9D}"/>
    <cellStyle name="40% - Accent6 2" xfId="90" xr:uid="{00000000-0005-0000-0000-0000B1000000}"/>
    <cellStyle name="40% - Accent6 2 10" xfId="1120" xr:uid="{0E5B38D7-A9DB-41DF-8E82-E39C08EBE7F3}"/>
    <cellStyle name="40% - Accent6 2 2" xfId="91" xr:uid="{00000000-0005-0000-0000-0000B2000000}"/>
    <cellStyle name="40% - Accent6 2 2 2" xfId="92" xr:uid="{00000000-0005-0000-0000-0000B3000000}"/>
    <cellStyle name="40% - Accent6 2 2 2 2" xfId="669" xr:uid="{00000000-0005-0000-0000-0000B4000000}"/>
    <cellStyle name="40% - Accent6 2 2 2 2 2" xfId="3767" xr:uid="{8B853794-717A-44ED-A35D-A4E4C94D0737}"/>
    <cellStyle name="40% - Accent6 2 2 2 2 2 2" xfId="7985" xr:uid="{AA53636D-5B62-4942-ABA9-1B13B0A45AD9}"/>
    <cellStyle name="40% - Accent6 2 2 2 2 3" xfId="5840" xr:uid="{587F93A3-037F-4808-8924-393748BEE6FC}"/>
    <cellStyle name="40% - Accent6 2 2 2 2 4" xfId="1536" xr:uid="{FAC13D29-4C09-4853-974F-DF37DAA5F9CC}"/>
    <cellStyle name="40% - Accent6 2 2 2 3" xfId="1951" xr:uid="{B68F99FC-5DAA-4EE1-97E0-47D97DB9168C}"/>
    <cellStyle name="40% - Accent6 2 2 2 3 2" xfId="4180" xr:uid="{F55C53BA-F2E0-4E6F-99DC-CA3386563108}"/>
    <cellStyle name="40% - Accent6 2 2 2 3 2 2" xfId="8398" xr:uid="{D0709BF3-A38C-4EB4-B847-470E68500924}"/>
    <cellStyle name="40% - Accent6 2 2 2 3 3" xfId="6253" xr:uid="{8273AE57-C5BB-43E3-8888-A82F9B7EAC19}"/>
    <cellStyle name="40% - Accent6 2 2 2 4" xfId="2364" xr:uid="{BF45EC07-5E80-4BEB-85B1-F35DC9BB29B9}"/>
    <cellStyle name="40% - Accent6 2 2 2 4 2" xfId="4593" xr:uid="{51442F1A-3C25-4BFA-8C28-6B6C361E4263}"/>
    <cellStyle name="40% - Accent6 2 2 2 4 2 2" xfId="8811" xr:uid="{F13449EE-E862-448B-8D23-2ADE58A39BB0}"/>
    <cellStyle name="40% - Accent6 2 2 2 4 3" xfId="6666" xr:uid="{9C27C061-9024-47F6-80E1-17364ACCEF3C}"/>
    <cellStyle name="40% - Accent6 2 2 2 5" xfId="2777" xr:uid="{08569982-1BD6-4FD3-B373-7000420E9983}"/>
    <cellStyle name="40% - Accent6 2 2 2 5 2" xfId="5006" xr:uid="{648D37C8-E81B-437C-AC3C-F1E894D590EA}"/>
    <cellStyle name="40% - Accent6 2 2 2 5 2 2" xfId="9224" xr:uid="{FFF6B6A6-4892-4E03-8AB4-92633B0DFF74}"/>
    <cellStyle name="40% - Accent6 2 2 2 5 3" xfId="7079" xr:uid="{77266AAF-1F20-4A2C-A56A-6DDB1353DFF1}"/>
    <cellStyle name="40% - Accent6 2 2 2 6" xfId="3190" xr:uid="{D9CF95CA-187B-4ED0-83CF-97DD22BE315A}"/>
    <cellStyle name="40% - Accent6 2 2 2 6 2" xfId="7492" xr:uid="{1302E556-F2EA-4904-8440-FF7DDEEB19E1}"/>
    <cellStyle name="40% - Accent6 2 2 2 7" xfId="5426" xr:uid="{67F80AE2-03D4-43E1-8B61-411C031BC517}"/>
    <cellStyle name="40% - Accent6 2 2 2 8" xfId="1122" xr:uid="{9E22ADC0-A23C-4365-8E99-0FB1F09BAD8F}"/>
    <cellStyle name="40% - Accent6 2 2 3" xfId="668" xr:uid="{00000000-0005-0000-0000-0000B5000000}"/>
    <cellStyle name="40% - Accent6 2 2 3 2" xfId="3766" xr:uid="{F3A00C58-ABED-4929-A9AF-9901B7408A3D}"/>
    <cellStyle name="40% - Accent6 2 2 3 2 2" xfId="7984" xr:uid="{3FBD39AB-250B-4C6F-98D3-90A4606CB6EB}"/>
    <cellStyle name="40% - Accent6 2 2 3 3" xfId="5839" xr:uid="{8625E479-D555-4359-B255-AFDA9147974A}"/>
    <cellStyle name="40% - Accent6 2 2 3 4" xfId="1535" xr:uid="{638B0CAB-FDFB-4EBB-8C76-58F4C4D1E742}"/>
    <cellStyle name="40% - Accent6 2 2 4" xfId="1950" xr:uid="{9D100CDD-D8F1-4E4E-B16C-FCEAB7423285}"/>
    <cellStyle name="40% - Accent6 2 2 4 2" xfId="4179" xr:uid="{ECA51877-66D1-4F68-9C9B-F23036988C6B}"/>
    <cellStyle name="40% - Accent6 2 2 4 2 2" xfId="8397" xr:uid="{307B9B7E-EC4E-4435-9C38-BB679A0E14B7}"/>
    <cellStyle name="40% - Accent6 2 2 4 3" xfId="6252" xr:uid="{C3F47043-361D-43FB-823B-60916E0AC289}"/>
    <cellStyle name="40% - Accent6 2 2 5" xfId="2363" xr:uid="{16FDCC7F-E113-4AF3-BB0B-C013EAF04207}"/>
    <cellStyle name="40% - Accent6 2 2 5 2" xfId="4592" xr:uid="{1394900C-3967-42C6-B904-FF6E422146D4}"/>
    <cellStyle name="40% - Accent6 2 2 5 2 2" xfId="8810" xr:uid="{9CCAD717-8ABD-4CF9-A0BF-23651E81CF52}"/>
    <cellStyle name="40% - Accent6 2 2 5 3" xfId="6665" xr:uid="{281DBF68-21F4-4A23-B619-3D08B4048C01}"/>
    <cellStyle name="40% - Accent6 2 2 6" xfId="2776" xr:uid="{343BDC46-F570-466D-B683-55A5A258348F}"/>
    <cellStyle name="40% - Accent6 2 2 6 2" xfId="5005" xr:uid="{EB77961F-00C6-4F67-BB97-57DA699CF3BB}"/>
    <cellStyle name="40% - Accent6 2 2 6 2 2" xfId="9223" xr:uid="{1F07A651-26A3-4250-9E8C-FF73CDF13DFE}"/>
    <cellStyle name="40% - Accent6 2 2 6 3" xfId="7078" xr:uid="{0540E8C9-DD81-4210-A5E7-69D5528BE5A0}"/>
    <cellStyle name="40% - Accent6 2 2 7" xfId="3189" xr:uid="{D3267177-B1A2-42CD-A804-5D2E387B1182}"/>
    <cellStyle name="40% - Accent6 2 2 7 2" xfId="7491" xr:uid="{BDE1EF12-6689-40C0-A034-B3494971DCDD}"/>
    <cellStyle name="40% - Accent6 2 2 8" xfId="5425" xr:uid="{BC9A6766-FD6B-4B2F-A185-8EC95C5882B8}"/>
    <cellStyle name="40% - Accent6 2 2 9" xfId="1121" xr:uid="{4B0D4714-39EF-4A3C-B5FA-AFF65D2C4571}"/>
    <cellStyle name="40% - Accent6 2 3" xfId="93" xr:uid="{00000000-0005-0000-0000-0000B6000000}"/>
    <cellStyle name="40% - Accent6 2 3 2" xfId="670" xr:uid="{00000000-0005-0000-0000-0000B7000000}"/>
    <cellStyle name="40% - Accent6 2 3 2 2" xfId="3768" xr:uid="{86CDAEBC-707A-4B4F-AD4F-DB45BC92EF03}"/>
    <cellStyle name="40% - Accent6 2 3 2 2 2" xfId="7986" xr:uid="{5410C510-E3FB-49BA-8274-D31BE53F1671}"/>
    <cellStyle name="40% - Accent6 2 3 2 3" xfId="5841" xr:uid="{19CC0C54-E7A1-44FD-810D-0A32AB1284BA}"/>
    <cellStyle name="40% - Accent6 2 3 2 4" xfId="1537" xr:uid="{B8315539-7E54-4F18-9786-19EFC686F888}"/>
    <cellStyle name="40% - Accent6 2 3 3" xfId="1952" xr:uid="{29ABE71B-9CAE-467E-9E5F-A31C0423B962}"/>
    <cellStyle name="40% - Accent6 2 3 3 2" xfId="4181" xr:uid="{4D5B8D46-5E56-4D38-8D6A-066796B010DD}"/>
    <cellStyle name="40% - Accent6 2 3 3 2 2" xfId="8399" xr:uid="{A130D764-8EE2-415A-9B08-22B45BEFE69A}"/>
    <cellStyle name="40% - Accent6 2 3 3 3" xfId="6254" xr:uid="{E4078564-6A0F-47E0-B549-99CA0DC5150E}"/>
    <cellStyle name="40% - Accent6 2 3 4" xfId="2365" xr:uid="{BF9D2D4C-B901-4015-B6EF-08FC02420C07}"/>
    <cellStyle name="40% - Accent6 2 3 4 2" xfId="4594" xr:uid="{860A0721-E1A6-4BE9-8BAB-FEEAD6CD672E}"/>
    <cellStyle name="40% - Accent6 2 3 4 2 2" xfId="8812" xr:uid="{C2D45919-7D66-40A0-907F-912816B8ED8A}"/>
    <cellStyle name="40% - Accent6 2 3 4 3" xfId="6667" xr:uid="{EB739021-E8B9-48B4-A105-DC18A2BEAB88}"/>
    <cellStyle name="40% - Accent6 2 3 5" xfId="2778" xr:uid="{65F335D3-CB48-4202-B771-8B2B73C77157}"/>
    <cellStyle name="40% - Accent6 2 3 5 2" xfId="5007" xr:uid="{B9EE8C37-A3C3-4E2C-97AB-D04406BC95B2}"/>
    <cellStyle name="40% - Accent6 2 3 5 2 2" xfId="9225" xr:uid="{054E72E5-BE77-4389-97F0-9C8333B4F5FE}"/>
    <cellStyle name="40% - Accent6 2 3 5 3" xfId="7080" xr:uid="{03946E7D-595B-4DD2-B931-07246514EE3A}"/>
    <cellStyle name="40% - Accent6 2 3 6" xfId="3191" xr:uid="{3A255F65-213D-4995-AFE9-A3856A255EC7}"/>
    <cellStyle name="40% - Accent6 2 3 6 2" xfId="7493" xr:uid="{76076C7A-6145-48D0-8181-8CFF525A1FE9}"/>
    <cellStyle name="40% - Accent6 2 3 7" xfId="5427" xr:uid="{2215935E-51DD-4A44-B6A6-362711C85B89}"/>
    <cellStyle name="40% - Accent6 2 3 8" xfId="1123" xr:uid="{67F4D632-79C1-4E4E-914B-0801FD51F0A6}"/>
    <cellStyle name="40% - Accent6 2 4" xfId="667" xr:uid="{00000000-0005-0000-0000-0000B8000000}"/>
    <cellStyle name="40% - Accent6 2 4 2" xfId="3765" xr:uid="{23E980BE-EE90-4FD1-9B9F-6D14C7523A23}"/>
    <cellStyle name="40% - Accent6 2 4 2 2" xfId="7983" xr:uid="{6E2735C7-E4AF-4100-B552-A85A018CF7F6}"/>
    <cellStyle name="40% - Accent6 2 4 3" xfId="5838" xr:uid="{A97E1AE0-739F-46D6-B81A-83B5F88F45AC}"/>
    <cellStyle name="40% - Accent6 2 4 4" xfId="1534" xr:uid="{73419162-6E04-4169-9CBB-44B049209163}"/>
    <cellStyle name="40% - Accent6 2 5" xfId="1949" xr:uid="{1B0C16DA-AE45-492F-B0E2-87323EC62898}"/>
    <cellStyle name="40% - Accent6 2 5 2" xfId="4178" xr:uid="{C99BB00B-CAA9-4793-BC1D-6D3C06140514}"/>
    <cellStyle name="40% - Accent6 2 5 2 2" xfId="8396" xr:uid="{9311EA85-D044-4735-BD41-18387FD55FB6}"/>
    <cellStyle name="40% - Accent6 2 5 3" xfId="6251" xr:uid="{A2440112-B39D-4348-9ACA-E13D825CC298}"/>
    <cellStyle name="40% - Accent6 2 6" xfId="2362" xr:uid="{7E5DE6ED-B811-4C32-97FF-A5F3F311C0AF}"/>
    <cellStyle name="40% - Accent6 2 6 2" xfId="4591" xr:uid="{AEC4DB3C-345F-47B3-B918-4F07FA3A0DBA}"/>
    <cellStyle name="40% - Accent6 2 6 2 2" xfId="8809" xr:uid="{525E9546-F040-49F2-A969-D40D56B1D1B7}"/>
    <cellStyle name="40% - Accent6 2 6 3" xfId="6664" xr:uid="{D0FC65F9-6DA2-4E98-8876-7468834AECAA}"/>
    <cellStyle name="40% - Accent6 2 7" xfId="2775" xr:uid="{46897CD8-4C2D-4B52-ACE5-1BCC81B4A1F2}"/>
    <cellStyle name="40% - Accent6 2 7 2" xfId="5004" xr:uid="{8C74AB25-2594-4B65-A2DB-34008BA03FF7}"/>
    <cellStyle name="40% - Accent6 2 7 2 2" xfId="9222" xr:uid="{BD5AA714-8EC8-4AFC-8343-83AF238BBF6C}"/>
    <cellStyle name="40% - Accent6 2 7 3" xfId="7077" xr:uid="{9FE479E8-09F0-4A63-8A5C-DC13789C8D88}"/>
    <cellStyle name="40% - Accent6 2 8" xfId="3188" xr:uid="{AD377CA1-EF23-49F2-85A8-0A327DB46E07}"/>
    <cellStyle name="40% - Accent6 2 8 2" xfId="7490" xr:uid="{D4603CFE-DD41-4AEB-8155-67AF1F195947}"/>
    <cellStyle name="40% - Accent6 2 9" xfId="5424" xr:uid="{DCC27DEC-F37A-470A-91FC-3A699853D1E3}"/>
    <cellStyle name="40% - Accent6 3" xfId="94" xr:uid="{00000000-0005-0000-0000-0000B9000000}"/>
    <cellStyle name="40% - Accent6 3 2" xfId="95" xr:uid="{00000000-0005-0000-0000-0000BA000000}"/>
    <cellStyle name="40% - Accent6 3 2 2" xfId="672" xr:uid="{00000000-0005-0000-0000-0000BB000000}"/>
    <cellStyle name="40% - Accent6 3 2 2 2" xfId="3770" xr:uid="{F034BFB9-E638-4518-8A65-BC8A85093D0B}"/>
    <cellStyle name="40% - Accent6 3 2 2 2 2" xfId="7988" xr:uid="{B58C706D-831E-46C0-BC0B-2FD029371693}"/>
    <cellStyle name="40% - Accent6 3 2 2 3" xfId="5843" xr:uid="{1C21AB21-9587-45C4-B422-EEF94863A731}"/>
    <cellStyle name="40% - Accent6 3 2 2 4" xfId="1539" xr:uid="{50B76EC2-B513-4217-BC9B-8DC7F9131B0D}"/>
    <cellStyle name="40% - Accent6 3 2 3" xfId="1954" xr:uid="{50B9A808-2DDF-47B3-B4FC-1032A14C96B2}"/>
    <cellStyle name="40% - Accent6 3 2 3 2" xfId="4183" xr:uid="{BE07299F-F2CF-4FE2-B973-D244ACBE8DA1}"/>
    <cellStyle name="40% - Accent6 3 2 3 2 2" xfId="8401" xr:uid="{FD7B1B1C-0B2C-4B3D-ABBD-ADB3A0BCC497}"/>
    <cellStyle name="40% - Accent6 3 2 3 3" xfId="6256" xr:uid="{A38936DA-EBD1-431B-93C3-B0566A8EBAEB}"/>
    <cellStyle name="40% - Accent6 3 2 4" xfId="2367" xr:uid="{655C3730-2580-4E3F-A666-18F876C8A5E8}"/>
    <cellStyle name="40% - Accent6 3 2 4 2" xfId="4596" xr:uid="{F353AEE5-FE21-4EB7-A029-A47752651236}"/>
    <cellStyle name="40% - Accent6 3 2 4 2 2" xfId="8814" xr:uid="{5EF16F93-29DF-4A5F-9792-A032D41AA277}"/>
    <cellStyle name="40% - Accent6 3 2 4 3" xfId="6669" xr:uid="{9F1A1648-3483-40BC-89AA-27BB892B54D1}"/>
    <cellStyle name="40% - Accent6 3 2 5" xfId="2780" xr:uid="{E723B63F-E425-46D2-A962-79742995F601}"/>
    <cellStyle name="40% - Accent6 3 2 5 2" xfId="5009" xr:uid="{6F484218-CA8A-4A1F-BB3C-1F766B7F5571}"/>
    <cellStyle name="40% - Accent6 3 2 5 2 2" xfId="9227" xr:uid="{7AF2581F-4600-4030-A146-BC43A83FE107}"/>
    <cellStyle name="40% - Accent6 3 2 5 3" xfId="7082" xr:uid="{315B9FD6-1DE8-415D-B4C7-1E5182BC7CC1}"/>
    <cellStyle name="40% - Accent6 3 2 6" xfId="3193" xr:uid="{50B87A94-A331-4D9F-B936-3712981F0823}"/>
    <cellStyle name="40% - Accent6 3 2 6 2" xfId="7495" xr:uid="{8A73589F-9C03-4AE3-A671-5C2A29C3CE47}"/>
    <cellStyle name="40% - Accent6 3 2 7" xfId="5429" xr:uid="{0CE77CEB-3271-4E33-93CA-7CD88EDFB361}"/>
    <cellStyle name="40% - Accent6 3 2 8" xfId="1125" xr:uid="{18D48D84-BE4C-4D8E-B3FB-1C94A91EFBAE}"/>
    <cellStyle name="40% - Accent6 3 3" xfId="671" xr:uid="{00000000-0005-0000-0000-0000BC000000}"/>
    <cellStyle name="40% - Accent6 3 3 2" xfId="3769" xr:uid="{F039CE98-C458-4818-B930-96D8AA6CF9DC}"/>
    <cellStyle name="40% - Accent6 3 3 2 2" xfId="7987" xr:uid="{07D5BF7F-34AA-47DF-A361-247D95C7CBF9}"/>
    <cellStyle name="40% - Accent6 3 3 3" xfId="5842" xr:uid="{518AB2FF-A2F9-4E5E-99C4-21D4D67A6D94}"/>
    <cellStyle name="40% - Accent6 3 3 4" xfId="1538" xr:uid="{8872B8B1-BA40-48BB-9A88-A74078452298}"/>
    <cellStyle name="40% - Accent6 3 4" xfId="1953" xr:uid="{3E3826AD-2B54-42A5-BACA-D491D8252EB3}"/>
    <cellStyle name="40% - Accent6 3 4 2" xfId="4182" xr:uid="{7E33A8A8-CB62-4FA1-A5F1-C21DDE311D5F}"/>
    <cellStyle name="40% - Accent6 3 4 2 2" xfId="8400" xr:uid="{831CCEFF-DCB2-440C-9791-BC00CF43B17A}"/>
    <cellStyle name="40% - Accent6 3 4 3" xfId="6255" xr:uid="{CF2F9685-18DA-414F-9BED-61764E369BFA}"/>
    <cellStyle name="40% - Accent6 3 5" xfId="2366" xr:uid="{18AA0253-6228-4D0F-BAF5-5706EA59FE80}"/>
    <cellStyle name="40% - Accent6 3 5 2" xfId="4595" xr:uid="{9FC8FBF3-2F42-4AA5-93C3-40BB96A56197}"/>
    <cellStyle name="40% - Accent6 3 5 2 2" xfId="8813" xr:uid="{20E4F8C8-303C-42A9-A7DE-EC459783731C}"/>
    <cellStyle name="40% - Accent6 3 5 3" xfId="6668" xr:uid="{8DCEACEF-D91B-42AB-AA14-85AC49CC97CF}"/>
    <cellStyle name="40% - Accent6 3 6" xfId="2779" xr:uid="{E3BFF145-CC22-4646-ACF4-12EBC03A5EBD}"/>
    <cellStyle name="40% - Accent6 3 6 2" xfId="5008" xr:uid="{53B7D233-84D4-41A2-8DBA-75688E3BCCE6}"/>
    <cellStyle name="40% - Accent6 3 6 2 2" xfId="9226" xr:uid="{078C7C3F-72C0-454F-B2BB-E88E6DC9789D}"/>
    <cellStyle name="40% - Accent6 3 6 3" xfId="7081" xr:uid="{11C67492-F5F2-465C-BC68-D2FBF8D4BD24}"/>
    <cellStyle name="40% - Accent6 3 7" xfId="3192" xr:uid="{C778CD5E-59AF-4383-A5E9-A42A994C38AC}"/>
    <cellStyle name="40% - Accent6 3 7 2" xfId="7494" xr:uid="{09F4477B-9B79-4FE8-A11B-4A14B84AF46E}"/>
    <cellStyle name="40% - Accent6 3 8" xfId="5428" xr:uid="{A425ACFA-E1A0-4DC1-A769-03B027450EBD}"/>
    <cellStyle name="40% - Accent6 3 9" xfId="1124" xr:uid="{55553776-EFAE-4493-B098-A6BAFF4C390F}"/>
    <cellStyle name="40% - Accent6 4" xfId="96" xr:uid="{00000000-0005-0000-0000-0000BD000000}"/>
    <cellStyle name="40% - Accent6 4 2" xfId="673" xr:uid="{00000000-0005-0000-0000-0000BE000000}"/>
    <cellStyle name="40% - Accent6 4 2 2" xfId="3771" xr:uid="{5C0151BE-6A36-47B1-BFC9-CB2B971DD174}"/>
    <cellStyle name="40% - Accent6 4 2 2 2" xfId="7989" xr:uid="{D844B8A6-8B14-4D4F-ACFE-60A0ABC34DF9}"/>
    <cellStyle name="40% - Accent6 4 2 3" xfId="5844" xr:uid="{A2EA2FC9-DC92-4494-B4D1-7EBC15F96260}"/>
    <cellStyle name="40% - Accent6 4 2 4" xfId="1540" xr:uid="{126858A1-EBA1-4271-8262-831C60EA39D1}"/>
    <cellStyle name="40% - Accent6 4 3" xfId="1955" xr:uid="{80BAD100-4F10-44A4-BA97-901169AB1DA5}"/>
    <cellStyle name="40% - Accent6 4 3 2" xfId="4184" xr:uid="{AAD161FF-656E-45C7-9F7D-DE065CFDA87D}"/>
    <cellStyle name="40% - Accent6 4 3 2 2" xfId="8402" xr:uid="{3DE191CD-0AE9-4AB8-9CE3-B13A357FEBEB}"/>
    <cellStyle name="40% - Accent6 4 3 3" xfId="6257" xr:uid="{410C9B48-5728-4D02-9BF9-756AA97EA6A5}"/>
    <cellStyle name="40% - Accent6 4 4" xfId="2368" xr:uid="{FE9A263B-077B-4444-976F-D5215441FAFB}"/>
    <cellStyle name="40% - Accent6 4 4 2" xfId="4597" xr:uid="{C1B0C904-49CD-4F93-93B8-7AEA5D26DDDF}"/>
    <cellStyle name="40% - Accent6 4 4 2 2" xfId="8815" xr:uid="{7F404B6C-63D5-418A-AFBB-215B28E53224}"/>
    <cellStyle name="40% - Accent6 4 4 3" xfId="6670" xr:uid="{3D77F2DB-6F42-44F9-93B6-F6503E7B225B}"/>
    <cellStyle name="40% - Accent6 4 5" xfId="2781" xr:uid="{457A3262-11A5-42DE-B13E-EE6286450947}"/>
    <cellStyle name="40% - Accent6 4 5 2" xfId="5010" xr:uid="{DC13F0E7-A1E3-4D94-880F-0ADAE3C1E6A1}"/>
    <cellStyle name="40% - Accent6 4 5 2 2" xfId="9228" xr:uid="{83B35ECC-233C-48B1-97F3-96AB333BCA71}"/>
    <cellStyle name="40% - Accent6 4 5 3" xfId="7083" xr:uid="{9AD37E2C-08DD-4879-877B-38323CA96E17}"/>
    <cellStyle name="40% - Accent6 4 6" xfId="3194" xr:uid="{523D4247-1CA0-462B-8AD2-AD60F176E1DB}"/>
    <cellStyle name="40% - Accent6 4 6 2" xfId="7496" xr:uid="{91F755AC-D918-4FFE-89CC-D1ECEA91341D}"/>
    <cellStyle name="40% - Accent6 4 7" xfId="5430" xr:uid="{BD734AAD-8A13-43F0-9A55-9E74C1AD4B6A}"/>
    <cellStyle name="40% - Accent6 4 8" xfId="1126" xr:uid="{414B7684-63A7-4C6C-B222-3E42F878ABC3}"/>
    <cellStyle name="40% - Accent6 5" xfId="666" xr:uid="{00000000-0005-0000-0000-0000BF000000}"/>
    <cellStyle name="40% - Accent6 5 2" xfId="3764" xr:uid="{C2858A7D-FC30-473E-AC86-5CAF9B82D16E}"/>
    <cellStyle name="40% - Accent6 5 2 2" xfId="7982" xr:uid="{B33F16F1-E238-400A-8C0E-7A9F8DF700F2}"/>
    <cellStyle name="40% - Accent6 5 3" xfId="5837" xr:uid="{343BBA2B-8587-4FD5-B5A1-8E9A43494A21}"/>
    <cellStyle name="40% - Accent6 5 4" xfId="1533" xr:uid="{C38733E3-B9B9-4580-8E46-3DBF5106A1B7}"/>
    <cellStyle name="40% - Accent6 6" xfId="1948" xr:uid="{D0BAFF6B-9B70-4307-8584-3830E91142E4}"/>
    <cellStyle name="40% - Accent6 6 2" xfId="4177" xr:uid="{AE517D10-3B68-4DD7-9CF9-767813503E70}"/>
    <cellStyle name="40% - Accent6 6 2 2" xfId="8395" xr:uid="{A61468A4-D9CC-4E14-8D0B-A44272E7FE90}"/>
    <cellStyle name="40% - Accent6 6 3" xfId="6250" xr:uid="{E8AACF63-952E-43B7-9E6B-749CCBE2B2FA}"/>
    <cellStyle name="40% - Accent6 7" xfId="2361" xr:uid="{3E5CAFE9-85E0-46CC-9F7A-82D3999E5AE2}"/>
    <cellStyle name="40% - Accent6 7 2" xfId="4590" xr:uid="{3E8E140D-6531-42A8-AC78-B7DAAEB043A5}"/>
    <cellStyle name="40% - Accent6 7 2 2" xfId="8808" xr:uid="{CE6DE606-92E2-41AF-A805-200226A0FF4A}"/>
    <cellStyle name="40% - Accent6 7 3" xfId="6663" xr:uid="{0B3F12E5-0C12-4745-B9DE-F64BDFD92A46}"/>
    <cellStyle name="40% - Accent6 8" xfId="2774" xr:uid="{5088E73B-70F6-4693-AE5C-72EC18133B20}"/>
    <cellStyle name="40% - Accent6 8 2" xfId="5003" xr:uid="{08D1A913-3975-4D4F-818E-B088E2F93559}"/>
    <cellStyle name="40% - Accent6 8 2 2" xfId="9221" xr:uid="{EC62D3B0-C5D6-41BE-9910-E7F265335ABA}"/>
    <cellStyle name="40% - Accent6 8 3" xfId="7076" xr:uid="{6121ADB3-E6E7-4A58-BE31-069A6898A166}"/>
    <cellStyle name="40% - Accent6 9" xfId="3187" xr:uid="{6F7940E1-2B27-46D2-8330-F2C18FB5BB12}"/>
    <cellStyle name="40% - Accent6 9 2" xfId="7489" xr:uid="{E4A37B32-BDC4-4565-8A01-1CF8C57CA735}"/>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10" xfId="3595" xr:uid="{C909B71B-3BB9-4A42-B03D-E7E42A79E09C}"/>
    <cellStyle name="Comma 4 2 2 2 10 2" xfId="7814" xr:uid="{E378ABAD-AB9C-43F1-AA5E-79072AEFEF60}"/>
    <cellStyle name="Comma 4 2 2 2 11" xfId="5431" xr:uid="{6FE00044-DD06-44B8-978F-806A04F98D17}"/>
    <cellStyle name="Comma 4 2 2 2 12" xfId="1127" xr:uid="{5348364F-F43F-4ED4-B78E-69066A2B7608}"/>
    <cellStyle name="Comma 4 2 2 2 2" xfId="129" xr:uid="{00000000-0005-0000-0000-0000E0000000}"/>
    <cellStyle name="Comma 4 2 2 2 2 10" xfId="5432" xr:uid="{7D213A1C-1C55-423B-9448-CC333212ECCD}"/>
    <cellStyle name="Comma 4 2 2 2 2 11" xfId="1128" xr:uid="{F303C2F9-8422-4287-850B-DD5770E4E070}"/>
    <cellStyle name="Comma 4 2 2 2 2 2" xfId="130" xr:uid="{00000000-0005-0000-0000-0000E1000000}"/>
    <cellStyle name="Comma 4 2 2 2 2 2 10" xfId="1129" xr:uid="{BEA50CBE-463D-481F-9DBA-D08837ED15A9}"/>
    <cellStyle name="Comma 4 2 2 2 2 2 2" xfId="676" xr:uid="{00000000-0005-0000-0000-0000E2000000}"/>
    <cellStyle name="Comma 4 2 2 2 2 2 2 2" xfId="3774" xr:uid="{35BB0DC9-7F5E-499B-91AF-7C95B845692F}"/>
    <cellStyle name="Comma 4 2 2 2 2 2 2 2 2" xfId="7992" xr:uid="{034885B2-CA01-49B9-A04F-D4B7FB915AE5}"/>
    <cellStyle name="Comma 4 2 2 2 2 2 2 3" xfId="5847" xr:uid="{7D818994-EB63-430E-99F1-03D2CDCE0AB9}"/>
    <cellStyle name="Comma 4 2 2 2 2 2 2 4" xfId="1543" xr:uid="{228C4F8D-C8E4-4055-83D2-DAB592A32E64}"/>
    <cellStyle name="Comma 4 2 2 2 2 2 3" xfId="1958" xr:uid="{D4AAEB8C-63E7-4F08-9557-8BED730AAC61}"/>
    <cellStyle name="Comma 4 2 2 2 2 2 3 2" xfId="4187" xr:uid="{6143BCB2-EEA6-4660-9B91-A1393A1FC464}"/>
    <cellStyle name="Comma 4 2 2 2 2 2 3 2 2" xfId="8405" xr:uid="{E3735044-56CB-40E2-B75C-FCBB1603ADEB}"/>
    <cellStyle name="Comma 4 2 2 2 2 2 3 3" xfId="6260" xr:uid="{C121AFDA-28A0-4863-B2C5-FBEA08E0E7FF}"/>
    <cellStyle name="Comma 4 2 2 2 2 2 4" xfId="2371" xr:uid="{41F92E8B-4BB5-4DDB-A4CD-A0E90D3378DC}"/>
    <cellStyle name="Comma 4 2 2 2 2 2 4 2" xfId="4600" xr:uid="{2D9C779E-562A-4203-B4E1-B875EB8D263E}"/>
    <cellStyle name="Comma 4 2 2 2 2 2 4 2 2" xfId="8818" xr:uid="{01223E76-311D-4F6C-8D2C-C5FEB5A89631}"/>
    <cellStyle name="Comma 4 2 2 2 2 2 4 3" xfId="6673" xr:uid="{4DE9ACDA-D8B4-40E8-A377-D5E73171355A}"/>
    <cellStyle name="Comma 4 2 2 2 2 2 5" xfId="2784" xr:uid="{4CED5C07-51F1-4F55-856F-DC8E514F22BD}"/>
    <cellStyle name="Comma 4 2 2 2 2 2 5 2" xfId="5013" xr:uid="{67073370-DB6E-4766-9A5D-6BE7FBFF6008}"/>
    <cellStyle name="Comma 4 2 2 2 2 2 5 2 2" xfId="9231" xr:uid="{BE8949BD-2F1E-49C9-98F9-180580A90311}"/>
    <cellStyle name="Comma 4 2 2 2 2 2 5 3" xfId="7086" xr:uid="{0A93EEA3-9392-471B-ACB3-640ABA93A66C}"/>
    <cellStyle name="Comma 4 2 2 2 2 2 6" xfId="3219" xr:uid="{579E072C-65BF-4558-B8B0-E347CD156471}"/>
    <cellStyle name="Comma 4 2 2 2 2 2 6 2" xfId="7499" xr:uid="{CE4E1C5D-C893-4AEA-855B-55EC20D46814}"/>
    <cellStyle name="Comma 4 2 2 2 2 2 7" xfId="3214" xr:uid="{CC5D33A6-C861-43DE-AAE5-A6302AD91FE8}"/>
    <cellStyle name="Comma 4 2 2 2 2 2 8" xfId="3597" xr:uid="{A540CA61-C57D-4805-A84B-EBC19182F633}"/>
    <cellStyle name="Comma 4 2 2 2 2 2 8 2" xfId="7816" xr:uid="{5981FC2D-D0D1-451D-9A4A-043993FD4E2A}"/>
    <cellStyle name="Comma 4 2 2 2 2 2 9" xfId="5433" xr:uid="{FB423D49-2CD7-48CB-B166-1F27AB245E87}"/>
    <cellStyle name="Comma 4 2 2 2 2 3" xfId="675" xr:uid="{00000000-0005-0000-0000-0000E3000000}"/>
    <cellStyle name="Comma 4 2 2 2 2 3 2" xfId="3773" xr:uid="{6751CC30-6FC2-40A9-991A-3D52C52BF3E2}"/>
    <cellStyle name="Comma 4 2 2 2 2 3 2 2" xfId="7991" xr:uid="{450C16E3-0B99-4997-AE30-DC0047AD34D9}"/>
    <cellStyle name="Comma 4 2 2 2 2 3 3" xfId="5846" xr:uid="{6B4CABC0-0DB2-441B-BF2B-A0097A14BAC1}"/>
    <cellStyle name="Comma 4 2 2 2 2 3 4" xfId="1542" xr:uid="{670EDCA3-5538-482D-9A95-C972FB6A20ED}"/>
    <cellStyle name="Comma 4 2 2 2 2 4" xfId="1957" xr:uid="{6E118479-7F77-45C2-ABED-06E51A87DD10}"/>
    <cellStyle name="Comma 4 2 2 2 2 4 2" xfId="4186" xr:uid="{41C2191C-E5DF-4725-9FDA-39508D957392}"/>
    <cellStyle name="Comma 4 2 2 2 2 4 2 2" xfId="8404" xr:uid="{1DF01FC7-C3E1-4563-9569-BD517275681E}"/>
    <cellStyle name="Comma 4 2 2 2 2 4 3" xfId="6259" xr:uid="{4B9E8539-8704-4480-B359-6DFCA39FAA02}"/>
    <cellStyle name="Comma 4 2 2 2 2 5" xfId="2370" xr:uid="{0F4E7668-3220-4CE6-9B10-6E6728AEDA7A}"/>
    <cellStyle name="Comma 4 2 2 2 2 5 2" xfId="4599" xr:uid="{48F9D5B5-FF53-4FF0-AAA8-FA01AAEBD2BE}"/>
    <cellStyle name="Comma 4 2 2 2 2 5 2 2" xfId="8817" xr:uid="{4B890596-9A3F-4DD7-9C26-604B1181DBEF}"/>
    <cellStyle name="Comma 4 2 2 2 2 5 3" xfId="6672" xr:uid="{B16445EC-3469-4D10-BDBE-CC68D53DC0EA}"/>
    <cellStyle name="Comma 4 2 2 2 2 6" xfId="2783" xr:uid="{B593EC31-FC66-4B25-BD51-9C6013256D8C}"/>
    <cellStyle name="Comma 4 2 2 2 2 6 2" xfId="5012" xr:uid="{90CE1786-DC79-4C6C-AB7C-045931E9424E}"/>
    <cellStyle name="Comma 4 2 2 2 2 6 2 2" xfId="9230" xr:uid="{3F2348BD-CEA2-4FE4-A616-600D4DB91F07}"/>
    <cellStyle name="Comma 4 2 2 2 2 6 3" xfId="7085" xr:uid="{539BB91C-D27E-4C42-B1BB-5ACFF732210B}"/>
    <cellStyle name="Comma 4 2 2 2 2 7" xfId="3218" xr:uid="{50993576-16A1-4D65-87F4-297F7DD85AA9}"/>
    <cellStyle name="Comma 4 2 2 2 2 7 2" xfId="7498" xr:uid="{71E0FD1C-1BDB-4CF1-B369-F7820B302C11}"/>
    <cellStyle name="Comma 4 2 2 2 2 8" xfId="3215" xr:uid="{AD4E648A-1CC4-4C55-8F7B-E9F539F93124}"/>
    <cellStyle name="Comma 4 2 2 2 2 9" xfId="3596" xr:uid="{E46DBE09-8003-477C-936E-DBB3DA9C323E}"/>
    <cellStyle name="Comma 4 2 2 2 2 9 2" xfId="7815" xr:uid="{9B3E97BA-9BCB-4678-B51E-E0A91F3C37C4}"/>
    <cellStyle name="Comma 4 2 2 2 3" xfId="131" xr:uid="{00000000-0005-0000-0000-0000E4000000}"/>
    <cellStyle name="Comma 4 2 2 2 3 10" xfId="1130" xr:uid="{1977986C-A44E-4E0D-9E4E-D7DA625FB55C}"/>
    <cellStyle name="Comma 4 2 2 2 3 2" xfId="677" xr:uid="{00000000-0005-0000-0000-0000E5000000}"/>
    <cellStyle name="Comma 4 2 2 2 3 2 2" xfId="3775" xr:uid="{A2FA4846-D131-42E8-8E6D-1AF2DC47AA46}"/>
    <cellStyle name="Comma 4 2 2 2 3 2 2 2" xfId="7993" xr:uid="{70EFB932-BFD7-4677-B49C-4F1230BC4978}"/>
    <cellStyle name="Comma 4 2 2 2 3 2 3" xfId="5848" xr:uid="{2ABB90B1-433D-4EF4-A687-8648EB772908}"/>
    <cellStyle name="Comma 4 2 2 2 3 2 4" xfId="1544" xr:uid="{D9DDB676-4C81-413E-9466-66EED9A6DE6C}"/>
    <cellStyle name="Comma 4 2 2 2 3 3" xfId="1959" xr:uid="{94BF9771-86A7-4471-9414-0B9CDDCEA5B1}"/>
    <cellStyle name="Comma 4 2 2 2 3 3 2" xfId="4188" xr:uid="{E3212F62-6E07-406D-B184-51D2C745DEA6}"/>
    <cellStyle name="Comma 4 2 2 2 3 3 2 2" xfId="8406" xr:uid="{6EDF062F-9C48-4885-B82D-9AE332F83806}"/>
    <cellStyle name="Comma 4 2 2 2 3 3 3" xfId="6261" xr:uid="{CD0D4D08-2D97-4D13-8831-A8483F3F5C86}"/>
    <cellStyle name="Comma 4 2 2 2 3 4" xfId="2372" xr:uid="{F1F9C063-CC8A-4939-877F-EDB9ACF2E7A7}"/>
    <cellStyle name="Comma 4 2 2 2 3 4 2" xfId="4601" xr:uid="{1AE688B6-97C5-4296-8396-03A60510B315}"/>
    <cellStyle name="Comma 4 2 2 2 3 4 2 2" xfId="8819" xr:uid="{A322DEF1-45AC-4CA8-BFCD-9ECEDB5C2856}"/>
    <cellStyle name="Comma 4 2 2 2 3 4 3" xfId="6674" xr:uid="{A4750B32-AF17-466B-9022-F0D8F110B341}"/>
    <cellStyle name="Comma 4 2 2 2 3 5" xfId="2785" xr:uid="{403926A6-9AAD-45C2-A0F7-0C1E7C483EDD}"/>
    <cellStyle name="Comma 4 2 2 2 3 5 2" xfId="5014" xr:uid="{A8794B91-8CD5-45F8-A9E7-1125FD1B8A0F}"/>
    <cellStyle name="Comma 4 2 2 2 3 5 2 2" xfId="9232" xr:uid="{616DABEB-4A6B-4F4C-B703-4AC2A38D68B9}"/>
    <cellStyle name="Comma 4 2 2 2 3 5 3" xfId="7087" xr:uid="{C516A3A2-0DF0-401F-9933-2E988604F406}"/>
    <cellStyle name="Comma 4 2 2 2 3 6" xfId="3220" xr:uid="{3BA23414-3A67-4B2D-98EC-A5EC4B34BFB7}"/>
    <cellStyle name="Comma 4 2 2 2 3 6 2" xfId="7500" xr:uid="{6846F70D-B8F0-4BDB-B075-A0C6520A5F06}"/>
    <cellStyle name="Comma 4 2 2 2 3 7" xfId="3213" xr:uid="{D529F863-6472-48C0-B79B-3B82733AC118}"/>
    <cellStyle name="Comma 4 2 2 2 3 8" xfId="3598" xr:uid="{64DE60DB-9685-462D-BFF1-0448782D448F}"/>
    <cellStyle name="Comma 4 2 2 2 3 8 2" xfId="7817" xr:uid="{3F6157A7-A9BF-431C-B12F-F9AF59F4E128}"/>
    <cellStyle name="Comma 4 2 2 2 3 9" xfId="5434" xr:uid="{79F20034-8518-4C49-81C8-2AAFCB86E12C}"/>
    <cellStyle name="Comma 4 2 2 2 4" xfId="674" xr:uid="{00000000-0005-0000-0000-0000E6000000}"/>
    <cellStyle name="Comma 4 2 2 2 4 2" xfId="3772" xr:uid="{41E068A4-5BE2-4666-8613-CC5662E50A1D}"/>
    <cellStyle name="Comma 4 2 2 2 4 2 2" xfId="7990" xr:uid="{DE62A246-B173-4391-ABDB-71E64160F84D}"/>
    <cellStyle name="Comma 4 2 2 2 4 3" xfId="5845" xr:uid="{65FBB8E9-0B69-49D8-AD2C-F0262F03B0C3}"/>
    <cellStyle name="Comma 4 2 2 2 4 4" xfId="1541" xr:uid="{E4258F03-A400-469F-952F-E4E517FEC548}"/>
    <cellStyle name="Comma 4 2 2 2 5" xfId="1956" xr:uid="{12D29785-4FBD-42CE-B862-4A160F85B207}"/>
    <cellStyle name="Comma 4 2 2 2 5 2" xfId="4185" xr:uid="{AD77355A-921A-48A0-A795-C0E35A70EBAA}"/>
    <cellStyle name="Comma 4 2 2 2 5 2 2" xfId="8403" xr:uid="{7FCFB293-8DA9-4F69-81B3-7C92579C44AB}"/>
    <cellStyle name="Comma 4 2 2 2 5 3" xfId="6258" xr:uid="{D3D09E90-0400-4746-B24B-770BEE6ABD91}"/>
    <cellStyle name="Comma 4 2 2 2 6" xfId="2369" xr:uid="{236BAA64-8E33-468A-B136-ACF0D2092706}"/>
    <cellStyle name="Comma 4 2 2 2 6 2" xfId="4598" xr:uid="{106CD62B-EE60-472A-9405-3AD0BD75A4F9}"/>
    <cellStyle name="Comma 4 2 2 2 6 2 2" xfId="8816" xr:uid="{D948985D-F8CD-4F36-9F04-161AA6BE58D3}"/>
    <cellStyle name="Comma 4 2 2 2 6 3" xfId="6671" xr:uid="{476A1D00-C162-4601-AD5A-6B4DA477F094}"/>
    <cellStyle name="Comma 4 2 2 2 7" xfId="2782" xr:uid="{5EBFE0B1-1076-4467-A51E-512B342BE572}"/>
    <cellStyle name="Comma 4 2 2 2 7 2" xfId="5011" xr:uid="{8AC0AE3C-86F3-4585-9F20-E972398DD2DE}"/>
    <cellStyle name="Comma 4 2 2 2 7 2 2" xfId="9229" xr:uid="{7983BCBA-C593-44AC-BE79-B05EB2B03DCF}"/>
    <cellStyle name="Comma 4 2 2 2 7 3" xfId="7084" xr:uid="{FC47465D-ED13-4184-8EA7-8AAD093017C1}"/>
    <cellStyle name="Comma 4 2 2 2 8" xfId="3217" xr:uid="{0A82907A-95E2-4F41-9E0A-3CA1529BC4FB}"/>
    <cellStyle name="Comma 4 2 2 2 8 2" xfId="7497" xr:uid="{BF553091-2E25-41ED-AB3D-AE2DC017CA06}"/>
    <cellStyle name="Comma 4 2 2 2 9" xfId="3216" xr:uid="{4D0A94D5-67C0-4312-9FF4-79F792686971}"/>
    <cellStyle name="Comma 4 2 2 3" xfId="132" xr:uid="{00000000-0005-0000-0000-0000E7000000}"/>
    <cellStyle name="Comma 4 2 2 3 10" xfId="5435" xr:uid="{91F7B2B6-D37C-4329-AF7C-D8E73A96AB33}"/>
    <cellStyle name="Comma 4 2 2 3 11" xfId="1131" xr:uid="{29E411EB-DBEB-4E43-A2EA-7E6DACAF62AA}"/>
    <cellStyle name="Comma 4 2 2 3 2" xfId="133" xr:uid="{00000000-0005-0000-0000-0000E8000000}"/>
    <cellStyle name="Comma 4 2 2 3 2 10" xfId="1132" xr:uid="{1C62E43F-7E88-44F1-97A1-0C2893A238D0}"/>
    <cellStyle name="Comma 4 2 2 3 2 2" xfId="679" xr:uid="{00000000-0005-0000-0000-0000E9000000}"/>
    <cellStyle name="Comma 4 2 2 3 2 2 2" xfId="3777" xr:uid="{58BD8A02-BA6E-4FC3-B106-CB2B03C86339}"/>
    <cellStyle name="Comma 4 2 2 3 2 2 2 2" xfId="7995" xr:uid="{F838AF22-5F5E-4D8D-BBF9-E8049E27CC74}"/>
    <cellStyle name="Comma 4 2 2 3 2 2 3" xfId="5850" xr:uid="{AACCE31A-9A6F-4E6A-88CB-97BDB03EED13}"/>
    <cellStyle name="Comma 4 2 2 3 2 2 4" xfId="1546" xr:uid="{2ECABE9D-832D-428C-8ACA-8BF741F0A2E0}"/>
    <cellStyle name="Comma 4 2 2 3 2 3" xfId="1961" xr:uid="{B39E280F-AD32-49B5-8F99-13FC1D375BA6}"/>
    <cellStyle name="Comma 4 2 2 3 2 3 2" xfId="4190" xr:uid="{16095A3E-6B0C-4A30-AB78-34D355581F21}"/>
    <cellStyle name="Comma 4 2 2 3 2 3 2 2" xfId="8408" xr:uid="{549C4C3F-6385-4384-8D7B-8AC948CDD728}"/>
    <cellStyle name="Comma 4 2 2 3 2 3 3" xfId="6263" xr:uid="{51CD53DA-04FB-4A16-8E9D-9461A19784B8}"/>
    <cellStyle name="Comma 4 2 2 3 2 4" xfId="2374" xr:uid="{FE569993-FE8B-4980-AB12-0172415E33DE}"/>
    <cellStyle name="Comma 4 2 2 3 2 4 2" xfId="4603" xr:uid="{37896418-D77F-4008-9461-BA17D4268F71}"/>
    <cellStyle name="Comma 4 2 2 3 2 4 2 2" xfId="8821" xr:uid="{31C06638-9670-4A30-9FFC-3CAD52036E48}"/>
    <cellStyle name="Comma 4 2 2 3 2 4 3" xfId="6676" xr:uid="{D18CE98C-477B-4024-8CBD-2B75C9C8FD29}"/>
    <cellStyle name="Comma 4 2 2 3 2 5" xfId="2787" xr:uid="{472A41C1-DFB5-45E4-869F-ED4817DED06D}"/>
    <cellStyle name="Comma 4 2 2 3 2 5 2" xfId="5016" xr:uid="{6B0D6249-EEA2-4429-B714-0EC828866F27}"/>
    <cellStyle name="Comma 4 2 2 3 2 5 2 2" xfId="9234" xr:uid="{5EA0A8BF-77B6-4E7C-ADE7-1975AFE30B5B}"/>
    <cellStyle name="Comma 4 2 2 3 2 5 3" xfId="7089" xr:uid="{C3A53201-0E45-455C-9CC9-FE74774B049F}"/>
    <cellStyle name="Comma 4 2 2 3 2 6" xfId="3222" xr:uid="{8397BDDE-199B-4710-974B-98A62CC145C6}"/>
    <cellStyle name="Comma 4 2 2 3 2 6 2" xfId="7502" xr:uid="{26A5A8EF-F66B-4401-A453-BF40C9C4BADA}"/>
    <cellStyle name="Comma 4 2 2 3 2 7" xfId="3211" xr:uid="{6D12498A-DE9A-4B30-9733-8C2F7D348B0C}"/>
    <cellStyle name="Comma 4 2 2 3 2 8" xfId="3600" xr:uid="{4566440A-80FF-4F45-AEF0-306BC2E9387B}"/>
    <cellStyle name="Comma 4 2 2 3 2 8 2" xfId="7819" xr:uid="{EAD754EC-E12D-4FD1-86A4-4763558CCEE8}"/>
    <cellStyle name="Comma 4 2 2 3 2 9" xfId="5436" xr:uid="{705190CE-92C0-49C4-A9BF-3EAF592FE719}"/>
    <cellStyle name="Comma 4 2 2 3 3" xfId="678" xr:uid="{00000000-0005-0000-0000-0000EA000000}"/>
    <cellStyle name="Comma 4 2 2 3 3 2" xfId="3776" xr:uid="{DDD0EFE5-5FEF-464D-BF8C-93254051A440}"/>
    <cellStyle name="Comma 4 2 2 3 3 2 2" xfId="7994" xr:uid="{03800C8B-1D39-4290-B037-7B55561F6132}"/>
    <cellStyle name="Comma 4 2 2 3 3 3" xfId="5849" xr:uid="{B650957D-28E7-4F18-89B8-1CE2CC2231BE}"/>
    <cellStyle name="Comma 4 2 2 3 3 4" xfId="1545" xr:uid="{0CDE1B39-9DF2-4394-B58F-91BC77868F21}"/>
    <cellStyle name="Comma 4 2 2 3 4" xfId="1960" xr:uid="{95C4483F-BDF0-4E59-AEF6-A85165C38FF0}"/>
    <cellStyle name="Comma 4 2 2 3 4 2" xfId="4189" xr:uid="{7828B068-CBD3-4ED0-9EA8-AE0A689E7CEB}"/>
    <cellStyle name="Comma 4 2 2 3 4 2 2" xfId="8407" xr:uid="{EF8A3D53-DE84-4E88-9B03-CB866AD261C8}"/>
    <cellStyle name="Comma 4 2 2 3 4 3" xfId="6262" xr:uid="{5E6EB346-34CE-45B5-8628-943C7E0A6251}"/>
    <cellStyle name="Comma 4 2 2 3 5" xfId="2373" xr:uid="{A7DDECA3-EB05-401D-B0E4-D9BED982DB7D}"/>
    <cellStyle name="Comma 4 2 2 3 5 2" xfId="4602" xr:uid="{B7690F3C-36C9-4843-92D2-460B9BE78D83}"/>
    <cellStyle name="Comma 4 2 2 3 5 2 2" xfId="8820" xr:uid="{9833300E-1704-4B4A-820F-3E184BDFE74E}"/>
    <cellStyle name="Comma 4 2 2 3 5 3" xfId="6675" xr:uid="{51BCB783-93FD-493E-906E-28CC9D857F5C}"/>
    <cellStyle name="Comma 4 2 2 3 6" xfId="2786" xr:uid="{B84C3288-8984-4ECD-BC62-3CE4316FAFE7}"/>
    <cellStyle name="Comma 4 2 2 3 6 2" xfId="5015" xr:uid="{329F520C-9A47-47C1-9FB6-DA2CF28976ED}"/>
    <cellStyle name="Comma 4 2 2 3 6 2 2" xfId="9233" xr:uid="{7891D70F-1BC7-4151-99DD-2E1296CB1DD5}"/>
    <cellStyle name="Comma 4 2 2 3 6 3" xfId="7088" xr:uid="{1BF37E72-BC23-42EE-AF02-E3CA6707D827}"/>
    <cellStyle name="Comma 4 2 2 3 7" xfId="3221" xr:uid="{04D155ED-344A-4CEC-B77A-38B838188A4A}"/>
    <cellStyle name="Comma 4 2 2 3 7 2" xfId="7501" xr:uid="{DFD6EA1E-932E-49ED-BCCC-995D59CFF12C}"/>
    <cellStyle name="Comma 4 2 2 3 8" xfId="3212" xr:uid="{A523470A-632A-48D7-ABAE-E349526AA896}"/>
    <cellStyle name="Comma 4 2 2 3 9" xfId="3599" xr:uid="{2B62BE5E-FE69-4013-BB78-948B5B0D4054}"/>
    <cellStyle name="Comma 4 2 2 3 9 2" xfId="7818" xr:uid="{E64B5438-63BB-481F-B1D5-A80D9A565E0B}"/>
    <cellStyle name="Comma 4 2 2 4" xfId="134" xr:uid="{00000000-0005-0000-0000-0000EB000000}"/>
    <cellStyle name="Comma 4 2 2 4 10" xfId="1133" xr:uid="{75757F72-DA08-4CD2-98FD-6C21BA4EBC4A}"/>
    <cellStyle name="Comma 4 2 2 4 2" xfId="680" xr:uid="{00000000-0005-0000-0000-0000EC000000}"/>
    <cellStyle name="Comma 4 2 2 4 2 2" xfId="3778" xr:uid="{9413DCBB-1EA0-4E8A-89DF-E4EE2B3B0CF7}"/>
    <cellStyle name="Comma 4 2 2 4 2 2 2" xfId="7996" xr:uid="{235320E2-8D6E-42AE-BCA8-BE8216E33CC2}"/>
    <cellStyle name="Comma 4 2 2 4 2 3" xfId="5851" xr:uid="{11BD6B1E-142B-40A1-8100-041F90FE1A60}"/>
    <cellStyle name="Comma 4 2 2 4 2 4" xfId="1547" xr:uid="{422F064C-75C7-42B1-ABF3-05A8C99BC2D3}"/>
    <cellStyle name="Comma 4 2 2 4 3" xfId="1962" xr:uid="{791E7C05-C9A4-41C8-BB7D-228860024E88}"/>
    <cellStyle name="Comma 4 2 2 4 3 2" xfId="4191" xr:uid="{D4E3A118-6731-48E7-8491-36D3725408DC}"/>
    <cellStyle name="Comma 4 2 2 4 3 2 2" xfId="8409" xr:uid="{76CBBE89-1B08-4C85-8FC0-EA9F60512C67}"/>
    <cellStyle name="Comma 4 2 2 4 3 3" xfId="6264" xr:uid="{D7262C32-3C14-4F64-83BA-D44D72FFDDE3}"/>
    <cellStyle name="Comma 4 2 2 4 4" xfId="2375" xr:uid="{B3B47DF2-6F82-4ED8-89AA-4B6653E819FD}"/>
    <cellStyle name="Comma 4 2 2 4 4 2" xfId="4604" xr:uid="{74FABA4B-32A6-4BDC-9382-6F0B4032AE84}"/>
    <cellStyle name="Comma 4 2 2 4 4 2 2" xfId="8822" xr:uid="{898A6884-8088-452F-B8B2-14C5D2F88E42}"/>
    <cellStyle name="Comma 4 2 2 4 4 3" xfId="6677" xr:uid="{C2F8C2C0-85AE-48F0-8FCC-A60A5A3B7CDA}"/>
    <cellStyle name="Comma 4 2 2 4 5" xfId="2788" xr:uid="{07016E1F-2958-4644-962B-F7E5EA37ED5A}"/>
    <cellStyle name="Comma 4 2 2 4 5 2" xfId="5017" xr:uid="{5DC80C0C-4E4D-4E5B-BF67-F10A10252E7E}"/>
    <cellStyle name="Comma 4 2 2 4 5 2 2" xfId="9235" xr:uid="{70273A00-3191-4C90-90BD-33B9BC4B45AB}"/>
    <cellStyle name="Comma 4 2 2 4 5 3" xfId="7090" xr:uid="{CD3CC325-4E2F-41B2-8884-17D12F21B38C}"/>
    <cellStyle name="Comma 4 2 2 4 6" xfId="3223" xr:uid="{A82F8D10-A15A-4866-8D1C-C2E383130404}"/>
    <cellStyle name="Comma 4 2 2 4 6 2" xfId="7503" xr:uid="{186062CB-3A4E-4FEB-9E2A-BF2E19B12112}"/>
    <cellStyle name="Comma 4 2 2 4 7" xfId="3210" xr:uid="{C54D5DC3-1E82-44A5-80D6-4E4E73AF2635}"/>
    <cellStyle name="Comma 4 2 2 4 8" xfId="3601" xr:uid="{C347D719-C5FE-47AD-8B7C-A37C3AA57EE8}"/>
    <cellStyle name="Comma 4 2 2 4 8 2" xfId="7820" xr:uid="{891608F7-2CBB-44F4-96E8-A4F178552ED0}"/>
    <cellStyle name="Comma 4 2 2 4 9" xfId="5437" xr:uid="{760017F7-3174-4A54-BE3E-55EA8DFCCAC7}"/>
    <cellStyle name="Comma 4 2 2 5" xfId="135" xr:uid="{00000000-0005-0000-0000-0000ED000000}"/>
    <cellStyle name="Comma 4 2 2 5 10" xfId="1134" xr:uid="{CBD5CE38-B69D-4CCA-974E-4607A3D9C59D}"/>
    <cellStyle name="Comma 4 2 2 5 2" xfId="681" xr:uid="{00000000-0005-0000-0000-0000EE000000}"/>
    <cellStyle name="Comma 4 2 2 5 2 2" xfId="3779" xr:uid="{555DA3B7-0273-4153-847D-485AA852FD5E}"/>
    <cellStyle name="Comma 4 2 2 5 2 2 2" xfId="7997" xr:uid="{61D5C730-8945-45CE-AA1D-229DAA7ADB72}"/>
    <cellStyle name="Comma 4 2 2 5 2 3" xfId="5852" xr:uid="{AE147C1C-8436-4414-98E6-181ED2EC1714}"/>
    <cellStyle name="Comma 4 2 2 5 2 4" xfId="1548" xr:uid="{C125334A-5D1E-4721-B2BD-5016F8CBFEF9}"/>
    <cellStyle name="Comma 4 2 2 5 3" xfId="1963" xr:uid="{7E7AC489-4E36-4253-9E63-5D38113D33F6}"/>
    <cellStyle name="Comma 4 2 2 5 3 2" xfId="4192" xr:uid="{D6BBC584-A48E-45B1-AB06-1050B95BCDE3}"/>
    <cellStyle name="Comma 4 2 2 5 3 2 2" xfId="8410" xr:uid="{593C1156-03A0-4334-9354-046E1D4D022F}"/>
    <cellStyle name="Comma 4 2 2 5 3 3" xfId="6265" xr:uid="{4558C02E-314F-43AF-95CC-A5EAA79D8E8A}"/>
    <cellStyle name="Comma 4 2 2 5 4" xfId="2376" xr:uid="{E70A9E15-35DF-4223-849C-6522CA8122D1}"/>
    <cellStyle name="Comma 4 2 2 5 4 2" xfId="4605" xr:uid="{0535822E-3263-40DE-ACCA-3E873A2A21E7}"/>
    <cellStyle name="Comma 4 2 2 5 4 2 2" xfId="8823" xr:uid="{0D9C3F1D-13EC-489B-866D-C63942067FB2}"/>
    <cellStyle name="Comma 4 2 2 5 4 3" xfId="6678" xr:uid="{EFAE255C-2454-4A23-B088-8EBFFD00BE38}"/>
    <cellStyle name="Comma 4 2 2 5 5" xfId="2789" xr:uid="{B3E752D8-9348-4A5B-93A9-00188035897C}"/>
    <cellStyle name="Comma 4 2 2 5 5 2" xfId="5018" xr:uid="{11ACD343-261F-4A24-B17C-071B064D4AF6}"/>
    <cellStyle name="Comma 4 2 2 5 5 2 2" xfId="9236" xr:uid="{F972FCDC-7F42-4C89-8138-A5C3230AFAB9}"/>
    <cellStyle name="Comma 4 2 2 5 5 3" xfId="7091" xr:uid="{3940109D-AC51-4FF0-9D8C-89C73794DB9F}"/>
    <cellStyle name="Comma 4 2 2 5 6" xfId="3224" xr:uid="{047DA341-530D-49E9-9394-1D210EC3CC78}"/>
    <cellStyle name="Comma 4 2 2 5 6 2" xfId="7504" xr:uid="{6FD7270E-07D8-4AA9-8801-8A99C7B23393}"/>
    <cellStyle name="Comma 4 2 2 5 7" xfId="3209" xr:uid="{7D5244B7-07EB-4B36-B9BE-7B2A0EE2AA1B}"/>
    <cellStyle name="Comma 4 2 2 5 8" xfId="3602" xr:uid="{C03EF555-7F84-4B4D-BBCB-1AA6E7641AAC}"/>
    <cellStyle name="Comma 4 2 2 5 8 2" xfId="7821" xr:uid="{F8B18BB0-8DC2-4FF6-A43C-34F2D3F164BE}"/>
    <cellStyle name="Comma 4 2 2 5 9" xfId="5438" xr:uid="{04ACA962-AD2E-46D9-BF7D-DB541A44EF06}"/>
    <cellStyle name="Comma 4 2 3" xfId="136" xr:uid="{00000000-0005-0000-0000-0000EF000000}"/>
    <cellStyle name="Comma 4 2 3 10" xfId="3603" xr:uid="{57F999A8-88CD-4B8B-8112-FA48FB02098E}"/>
    <cellStyle name="Comma 4 2 3 10 2" xfId="7822" xr:uid="{F0E35AF2-0887-45AD-BDB9-6EFC2FC15C9B}"/>
    <cellStyle name="Comma 4 2 3 11" xfId="5439" xr:uid="{38333277-FEA1-45B3-8CA1-66210A0EADF1}"/>
    <cellStyle name="Comma 4 2 3 12" xfId="1135" xr:uid="{9A3F1643-91E7-4C69-A42E-B0C3A62D15C8}"/>
    <cellStyle name="Comma 4 2 3 2" xfId="137" xr:uid="{00000000-0005-0000-0000-0000F0000000}"/>
    <cellStyle name="Comma 4 2 3 2 10" xfId="5440" xr:uid="{36341B4F-60B6-4E71-A15E-BCE3A38A7F9A}"/>
    <cellStyle name="Comma 4 2 3 2 11" xfId="1136" xr:uid="{93FD84BC-EC53-45CD-9EB9-2E301A271F62}"/>
    <cellStyle name="Comma 4 2 3 2 2" xfId="138" xr:uid="{00000000-0005-0000-0000-0000F1000000}"/>
    <cellStyle name="Comma 4 2 3 2 2 10" xfId="1137" xr:uid="{99D1F01F-76B9-4BC7-B03B-56CA4B3A3C5C}"/>
    <cellStyle name="Comma 4 2 3 2 2 2" xfId="684" xr:uid="{00000000-0005-0000-0000-0000F2000000}"/>
    <cellStyle name="Comma 4 2 3 2 2 2 2" xfId="3782" xr:uid="{05177156-CC47-43E3-81CD-689F1EDB0A29}"/>
    <cellStyle name="Comma 4 2 3 2 2 2 2 2" xfId="8000" xr:uid="{316EE54A-B126-4AE0-ABC9-9E5C227CD9E3}"/>
    <cellStyle name="Comma 4 2 3 2 2 2 3" xfId="5855" xr:uid="{75A4A5AC-73D8-4D57-8DB0-16CE5E74EE60}"/>
    <cellStyle name="Comma 4 2 3 2 2 2 4" xfId="1551" xr:uid="{55C7B5B8-0F36-4D69-B49C-C2D3B568F199}"/>
    <cellStyle name="Comma 4 2 3 2 2 3" xfId="1966" xr:uid="{C48BDB93-7E5A-4EC2-9C4B-B97691A0CCFA}"/>
    <cellStyle name="Comma 4 2 3 2 2 3 2" xfId="4195" xr:uid="{48813056-3C7D-49ED-B469-E6B4B0205159}"/>
    <cellStyle name="Comma 4 2 3 2 2 3 2 2" xfId="8413" xr:uid="{84BF4310-EE5D-4C3E-8C9F-12D35CD7FC4E}"/>
    <cellStyle name="Comma 4 2 3 2 2 3 3" xfId="6268" xr:uid="{88F8B3F0-160F-4305-BDEA-9C933649AC70}"/>
    <cellStyle name="Comma 4 2 3 2 2 4" xfId="2379" xr:uid="{F0C0A4C9-FC64-4AB8-A943-70949ABBB2E1}"/>
    <cellStyle name="Comma 4 2 3 2 2 4 2" xfId="4608" xr:uid="{B0C08376-05E1-45AC-954E-6CAE9C203644}"/>
    <cellStyle name="Comma 4 2 3 2 2 4 2 2" xfId="8826" xr:uid="{0991D9BE-8821-4D64-BF51-5127D9F53117}"/>
    <cellStyle name="Comma 4 2 3 2 2 4 3" xfId="6681" xr:uid="{654EEB86-3201-460D-85C4-42DB50F49E80}"/>
    <cellStyle name="Comma 4 2 3 2 2 5" xfId="2792" xr:uid="{2408C324-C96C-4CA2-A72F-1ADF009E8A3D}"/>
    <cellStyle name="Comma 4 2 3 2 2 5 2" xfId="5021" xr:uid="{DAF4A9EE-4BB6-47C9-B237-B1AB1DD16577}"/>
    <cellStyle name="Comma 4 2 3 2 2 5 2 2" xfId="9239" xr:uid="{C9E502E0-A43D-491C-B388-1BFF0AE93CC0}"/>
    <cellStyle name="Comma 4 2 3 2 2 5 3" xfId="7094" xr:uid="{3F9DB0EA-CD28-449A-A852-0CD13634A980}"/>
    <cellStyle name="Comma 4 2 3 2 2 6" xfId="3227" xr:uid="{9946F03A-F11D-4927-B05D-D8435736B2A4}"/>
    <cellStyle name="Comma 4 2 3 2 2 6 2" xfId="7507" xr:uid="{3FDB7649-C4AB-46C9-85B2-42368B34B75F}"/>
    <cellStyle name="Comma 4 2 3 2 2 7" xfId="3206" xr:uid="{8666D0AF-A79F-4EDE-AA8D-0AC750DAF754}"/>
    <cellStyle name="Comma 4 2 3 2 2 8" xfId="3605" xr:uid="{C5D48D28-206A-4DF6-B2E7-140AC7683761}"/>
    <cellStyle name="Comma 4 2 3 2 2 8 2" xfId="7824" xr:uid="{E4A42872-9C6D-40EE-8C3E-475ACEFF3355}"/>
    <cellStyle name="Comma 4 2 3 2 2 9" xfId="5441" xr:uid="{F1F12172-3BCC-4C8F-A462-B2A16DB10D30}"/>
    <cellStyle name="Comma 4 2 3 2 3" xfId="683" xr:uid="{00000000-0005-0000-0000-0000F3000000}"/>
    <cellStyle name="Comma 4 2 3 2 3 2" xfId="3781" xr:uid="{6E6C2E45-D107-4981-904B-B64A30494FCB}"/>
    <cellStyle name="Comma 4 2 3 2 3 2 2" xfId="7999" xr:uid="{E47D8511-6A3A-43B9-89CE-9C9D642EDB16}"/>
    <cellStyle name="Comma 4 2 3 2 3 3" xfId="5854" xr:uid="{682E6183-09CB-4FFF-BA41-CB5E13B03065}"/>
    <cellStyle name="Comma 4 2 3 2 3 4" xfId="1550" xr:uid="{2AE4C9BB-8843-4A39-A372-DFDA8CDA2AF6}"/>
    <cellStyle name="Comma 4 2 3 2 4" xfId="1965" xr:uid="{A9AAE090-0722-4F71-9BD2-EA35451ECE5E}"/>
    <cellStyle name="Comma 4 2 3 2 4 2" xfId="4194" xr:uid="{B7CE15EF-47DF-4BEA-ADCF-CC8168FFAC48}"/>
    <cellStyle name="Comma 4 2 3 2 4 2 2" xfId="8412" xr:uid="{49A7DE81-C43E-414A-8A41-9CBDF4C21137}"/>
    <cellStyle name="Comma 4 2 3 2 4 3" xfId="6267" xr:uid="{9FFAE211-AA89-40F8-B81A-61AB285406FF}"/>
    <cellStyle name="Comma 4 2 3 2 5" xfId="2378" xr:uid="{20A19D42-8200-46B1-BBEB-8531ED221CBC}"/>
    <cellStyle name="Comma 4 2 3 2 5 2" xfId="4607" xr:uid="{3364322E-54CA-43A1-AB6A-F4000031983C}"/>
    <cellStyle name="Comma 4 2 3 2 5 2 2" xfId="8825" xr:uid="{A1112149-98A5-41D0-BB90-30396C354200}"/>
    <cellStyle name="Comma 4 2 3 2 5 3" xfId="6680" xr:uid="{3750701F-3D6E-4D88-9EFE-B78C53108D7E}"/>
    <cellStyle name="Comma 4 2 3 2 6" xfId="2791" xr:uid="{34A62675-0B27-4C0E-B065-0889CD1F8E38}"/>
    <cellStyle name="Comma 4 2 3 2 6 2" xfId="5020" xr:uid="{6E04742D-0815-4C59-890D-ECC9780D8530}"/>
    <cellStyle name="Comma 4 2 3 2 6 2 2" xfId="9238" xr:uid="{D732632E-6A84-4610-8823-AC42CA5709FB}"/>
    <cellStyle name="Comma 4 2 3 2 6 3" xfId="7093" xr:uid="{CAD5EB56-3D7E-4C73-B6A8-6A20F68EA865}"/>
    <cellStyle name="Comma 4 2 3 2 7" xfId="3226" xr:uid="{06541858-A507-4186-817F-26983E5BEED2}"/>
    <cellStyle name="Comma 4 2 3 2 7 2" xfId="7506" xr:uid="{585D016F-F5BF-4D41-9FF7-2E9FDE846C3F}"/>
    <cellStyle name="Comma 4 2 3 2 8" xfId="3207" xr:uid="{D3618001-65A7-44BD-80F9-2A419D9924F0}"/>
    <cellStyle name="Comma 4 2 3 2 9" xfId="3604" xr:uid="{6753781A-058F-4B1A-B902-C355D9E46050}"/>
    <cellStyle name="Comma 4 2 3 2 9 2" xfId="7823" xr:uid="{A9B324A0-8BBA-43FF-A3DC-259D91890770}"/>
    <cellStyle name="Comma 4 2 3 3" xfId="139" xr:uid="{00000000-0005-0000-0000-0000F4000000}"/>
    <cellStyle name="Comma 4 2 3 3 10" xfId="1138" xr:uid="{2CBFAE1B-47AE-4B46-8960-3BE228164769}"/>
    <cellStyle name="Comma 4 2 3 3 2" xfId="685" xr:uid="{00000000-0005-0000-0000-0000F5000000}"/>
    <cellStyle name="Comma 4 2 3 3 2 2" xfId="3783" xr:uid="{25638F18-EEA5-46C6-B80D-59AFB6625896}"/>
    <cellStyle name="Comma 4 2 3 3 2 2 2" xfId="8001" xr:uid="{A67AE8B4-6B6E-4BC0-BBD0-930C86C53B2E}"/>
    <cellStyle name="Comma 4 2 3 3 2 3" xfId="5856" xr:uid="{B7024B9A-E860-4BE9-82B4-0D556467EAEF}"/>
    <cellStyle name="Comma 4 2 3 3 2 4" xfId="1552" xr:uid="{0AA5A7F0-7B6E-4301-9EB9-0067525B3D19}"/>
    <cellStyle name="Comma 4 2 3 3 3" xfId="1967" xr:uid="{9FD1C26A-9E7A-494F-BF7B-A967857638AE}"/>
    <cellStyle name="Comma 4 2 3 3 3 2" xfId="4196" xr:uid="{324EFEFE-A89B-4B0E-9B5B-4B024CE7160B}"/>
    <cellStyle name="Comma 4 2 3 3 3 2 2" xfId="8414" xr:uid="{26BC1E54-258B-4DC9-BB49-98215F45876E}"/>
    <cellStyle name="Comma 4 2 3 3 3 3" xfId="6269" xr:uid="{C5A08B9B-5E0B-443C-BB00-B2EDAE703234}"/>
    <cellStyle name="Comma 4 2 3 3 4" xfId="2380" xr:uid="{8F81CD3A-FCCA-41FF-A747-DF98956FAEB4}"/>
    <cellStyle name="Comma 4 2 3 3 4 2" xfId="4609" xr:uid="{85FAAECA-9807-427D-90E6-0758ECA27AB2}"/>
    <cellStyle name="Comma 4 2 3 3 4 2 2" xfId="8827" xr:uid="{D7B7C4ED-B140-4CFF-B061-7DE8A99EBF1D}"/>
    <cellStyle name="Comma 4 2 3 3 4 3" xfId="6682" xr:uid="{67F360D7-2711-49F4-97CB-80624143EA33}"/>
    <cellStyle name="Comma 4 2 3 3 5" xfId="2793" xr:uid="{A8D47F34-897A-41B8-AA19-39B64241ABCB}"/>
    <cellStyle name="Comma 4 2 3 3 5 2" xfId="5022" xr:uid="{125CE38E-D04E-4D93-A78D-628311A84FD1}"/>
    <cellStyle name="Comma 4 2 3 3 5 2 2" xfId="9240" xr:uid="{FC1F46BC-A29F-485D-87A6-8866AEC89609}"/>
    <cellStyle name="Comma 4 2 3 3 5 3" xfId="7095" xr:uid="{2DA681AA-8130-49D8-ABCA-7ED545C99D0D}"/>
    <cellStyle name="Comma 4 2 3 3 6" xfId="3228" xr:uid="{FDFBDAE2-B739-4207-9012-1976FBF24CF2}"/>
    <cellStyle name="Comma 4 2 3 3 6 2" xfId="7508" xr:uid="{78DA09F9-54CD-4D9C-818B-23C39E5612A1}"/>
    <cellStyle name="Comma 4 2 3 3 7" xfId="3205" xr:uid="{2A19C1B1-A793-460D-9EC9-553BD981CDD0}"/>
    <cellStyle name="Comma 4 2 3 3 8" xfId="3606" xr:uid="{E2C77695-C634-4FBC-AE88-C5AD815D01C5}"/>
    <cellStyle name="Comma 4 2 3 3 8 2" xfId="7825" xr:uid="{1FFF87B4-034D-4E38-841D-56C03D7CA126}"/>
    <cellStyle name="Comma 4 2 3 3 9" xfId="5442" xr:uid="{76B8CB6B-8869-4C4B-A0E8-B40916E216CD}"/>
    <cellStyle name="Comma 4 2 3 4" xfId="682" xr:uid="{00000000-0005-0000-0000-0000F6000000}"/>
    <cellStyle name="Comma 4 2 3 4 2" xfId="3780" xr:uid="{9D0F82AE-5A96-4886-8981-FA3A242550C8}"/>
    <cellStyle name="Comma 4 2 3 4 2 2" xfId="7998" xr:uid="{ACF9623C-18F1-43B1-A14F-AA4B93CBC648}"/>
    <cellStyle name="Comma 4 2 3 4 3" xfId="5853" xr:uid="{10762A3F-F4F3-4903-BECD-31F7258B2A60}"/>
    <cellStyle name="Comma 4 2 3 4 4" xfId="1549" xr:uid="{BAD1D243-98CF-464F-857F-44CE0E0D7E61}"/>
    <cellStyle name="Comma 4 2 3 5" xfId="1964" xr:uid="{785F1A92-3630-4B4D-8704-1ED56EAC6F4A}"/>
    <cellStyle name="Comma 4 2 3 5 2" xfId="4193" xr:uid="{92417A4E-F11F-48A7-9319-858FD3C39812}"/>
    <cellStyle name="Comma 4 2 3 5 2 2" xfId="8411" xr:uid="{5D3534D4-1AB2-4918-BE50-ECC206BA3126}"/>
    <cellStyle name="Comma 4 2 3 5 3" xfId="6266" xr:uid="{69A1B6CA-DB87-4AA5-989D-33AFFAE5BFF5}"/>
    <cellStyle name="Comma 4 2 3 6" xfId="2377" xr:uid="{4604BEC4-C117-44EB-A162-565B2CD30938}"/>
    <cellStyle name="Comma 4 2 3 6 2" xfId="4606" xr:uid="{1A1FF45E-26A1-436F-AE11-E14C17421B70}"/>
    <cellStyle name="Comma 4 2 3 6 2 2" xfId="8824" xr:uid="{4FA46C9A-2111-4522-9333-A5015E3C637B}"/>
    <cellStyle name="Comma 4 2 3 6 3" xfId="6679" xr:uid="{079091B9-61D8-46BE-B2F2-B7715B58F3AC}"/>
    <cellStyle name="Comma 4 2 3 7" xfId="2790" xr:uid="{00A5BF29-0EC2-4106-AA4F-302F10073A7F}"/>
    <cellStyle name="Comma 4 2 3 7 2" xfId="5019" xr:uid="{4F9492BE-0D43-48DD-A97A-7DE877519A9F}"/>
    <cellStyle name="Comma 4 2 3 7 2 2" xfId="9237" xr:uid="{23448CF5-8419-4504-8430-0AA637C017F6}"/>
    <cellStyle name="Comma 4 2 3 7 3" xfId="7092" xr:uid="{9C1B2D44-86B2-43C1-8BBD-4E5E929CC953}"/>
    <cellStyle name="Comma 4 2 3 8" xfId="3225" xr:uid="{80EA1055-6A49-4A61-A0DA-3E162532C913}"/>
    <cellStyle name="Comma 4 2 3 8 2" xfId="7505" xr:uid="{0B624CAB-FCD8-47FE-A3C3-30C990D3CB42}"/>
    <cellStyle name="Comma 4 2 3 9" xfId="3208" xr:uid="{890499E7-17B6-4CF5-B8FE-3856D13E78C7}"/>
    <cellStyle name="Comma 4 2 4" xfId="140" xr:uid="{00000000-0005-0000-0000-0000F7000000}"/>
    <cellStyle name="Comma 4 2 4 10" xfId="5443" xr:uid="{C5EE6C5B-714A-4E13-AF12-8651DFF0AD42}"/>
    <cellStyle name="Comma 4 2 4 11" xfId="1139" xr:uid="{38502A12-2035-4B58-B6DC-1757A7EEE63A}"/>
    <cellStyle name="Comma 4 2 4 2" xfId="141" xr:uid="{00000000-0005-0000-0000-0000F8000000}"/>
    <cellStyle name="Comma 4 2 4 2 10" xfId="1140" xr:uid="{A90610E6-A837-4676-A1D3-6F99A1C194B8}"/>
    <cellStyle name="Comma 4 2 4 2 2" xfId="687" xr:uid="{00000000-0005-0000-0000-0000F9000000}"/>
    <cellStyle name="Comma 4 2 4 2 2 2" xfId="3785" xr:uid="{A87BA1D5-0D7A-431C-BDF3-E363A4A22560}"/>
    <cellStyle name="Comma 4 2 4 2 2 2 2" xfId="8003" xr:uid="{38C5418F-9FB9-4E23-9E69-336BFDA8954D}"/>
    <cellStyle name="Comma 4 2 4 2 2 3" xfId="5858" xr:uid="{48DCBC6E-9CB0-4171-99F3-20AE97BE47E5}"/>
    <cellStyle name="Comma 4 2 4 2 2 4" xfId="1554" xr:uid="{CE50283A-8F10-4269-82C3-B7A3585C0A1B}"/>
    <cellStyle name="Comma 4 2 4 2 3" xfId="1969" xr:uid="{C6C98759-DDA9-4F86-9C1B-7173D4E5A52E}"/>
    <cellStyle name="Comma 4 2 4 2 3 2" xfId="4198" xr:uid="{36A1CBFE-24F2-4BD7-82F4-B9E73F589542}"/>
    <cellStyle name="Comma 4 2 4 2 3 2 2" xfId="8416" xr:uid="{9BC0B16F-6DA4-4F20-8E75-F29714F525B5}"/>
    <cellStyle name="Comma 4 2 4 2 3 3" xfId="6271" xr:uid="{9A9AD90F-695A-4330-AAE8-B98F6E53E27C}"/>
    <cellStyle name="Comma 4 2 4 2 4" xfId="2382" xr:uid="{16FF0CEA-3F3A-40B4-8706-1AC792C850B6}"/>
    <cellStyle name="Comma 4 2 4 2 4 2" xfId="4611" xr:uid="{0FB0C729-DC70-486F-8EBC-C715572ADFD7}"/>
    <cellStyle name="Comma 4 2 4 2 4 2 2" xfId="8829" xr:uid="{334F11BA-7CA1-4D55-9D9C-7858C68954DF}"/>
    <cellStyle name="Comma 4 2 4 2 4 3" xfId="6684" xr:uid="{0008BF97-8380-4F63-AE8D-25BF525BA417}"/>
    <cellStyle name="Comma 4 2 4 2 5" xfId="2795" xr:uid="{AAA4C842-3CA1-4BC7-8B67-5624E4E7E5F3}"/>
    <cellStyle name="Comma 4 2 4 2 5 2" xfId="5024" xr:uid="{E69B0156-332E-4692-A1AE-9E4D25F9D683}"/>
    <cellStyle name="Comma 4 2 4 2 5 2 2" xfId="9242" xr:uid="{F743981A-67D8-47CE-B885-815969EEE779}"/>
    <cellStyle name="Comma 4 2 4 2 5 3" xfId="7097" xr:uid="{13B74FC2-650F-4A7E-9104-7707EFFE6BEF}"/>
    <cellStyle name="Comma 4 2 4 2 6" xfId="3230" xr:uid="{226CBAA5-BBD0-440B-83FE-864940676F05}"/>
    <cellStyle name="Comma 4 2 4 2 6 2" xfId="7510" xr:uid="{2186628B-391E-4B9B-A6A3-1A83DD08EDCE}"/>
    <cellStyle name="Comma 4 2 4 2 7" xfId="3203" xr:uid="{E475E5DC-40BE-47B6-B056-CBBAFEE6C862}"/>
    <cellStyle name="Comma 4 2 4 2 8" xfId="3608" xr:uid="{3A1FEBA4-598B-4165-8B70-87F9FAAF5ECC}"/>
    <cellStyle name="Comma 4 2 4 2 8 2" xfId="7827" xr:uid="{04E851BF-5CFF-4956-AF91-4BBABCBE9F06}"/>
    <cellStyle name="Comma 4 2 4 2 9" xfId="5444" xr:uid="{2AEEF0AD-DEFC-4BD8-9350-984DF357AD1A}"/>
    <cellStyle name="Comma 4 2 4 3" xfId="686" xr:uid="{00000000-0005-0000-0000-0000FA000000}"/>
    <cellStyle name="Comma 4 2 4 3 2" xfId="3784" xr:uid="{0934022A-A611-471D-A053-950407E50DD3}"/>
    <cellStyle name="Comma 4 2 4 3 2 2" xfId="8002" xr:uid="{19A84792-D146-451E-BC41-1D5FCD16405A}"/>
    <cellStyle name="Comma 4 2 4 3 3" xfId="5857" xr:uid="{F207FDE1-9C54-42FD-92E2-D7B223BBC2A7}"/>
    <cellStyle name="Comma 4 2 4 3 4" xfId="1553" xr:uid="{908BD2AE-9881-4961-8516-2F6333326D07}"/>
    <cellStyle name="Comma 4 2 4 4" xfId="1968" xr:uid="{459329AF-4AF4-487B-A3CC-11E9C30FBEB5}"/>
    <cellStyle name="Comma 4 2 4 4 2" xfId="4197" xr:uid="{5DC14089-D1A2-4992-845A-FA856275C2D6}"/>
    <cellStyle name="Comma 4 2 4 4 2 2" xfId="8415" xr:uid="{4F9227B8-B19F-4CD0-893E-CFF137EAE1FC}"/>
    <cellStyle name="Comma 4 2 4 4 3" xfId="6270" xr:uid="{F374FD79-41C5-4604-A5B5-972E571C1701}"/>
    <cellStyle name="Comma 4 2 4 5" xfId="2381" xr:uid="{B425331A-C317-4D2F-9BB3-F142CA0DCF67}"/>
    <cellStyle name="Comma 4 2 4 5 2" xfId="4610" xr:uid="{7056863D-BA6D-464E-A386-EBDE9D5FEF4E}"/>
    <cellStyle name="Comma 4 2 4 5 2 2" xfId="8828" xr:uid="{1BB8C31A-9DC7-4AED-8A17-77B51F453975}"/>
    <cellStyle name="Comma 4 2 4 5 3" xfId="6683" xr:uid="{C9B3E0AE-CC2B-4947-9931-331F463A7131}"/>
    <cellStyle name="Comma 4 2 4 6" xfId="2794" xr:uid="{31F99A07-B450-48A4-866B-BB9BFBE81FB1}"/>
    <cellStyle name="Comma 4 2 4 6 2" xfId="5023" xr:uid="{9F27ECF8-4BE7-463A-A88B-23842E704E4D}"/>
    <cellStyle name="Comma 4 2 4 6 2 2" xfId="9241" xr:uid="{74D72CA6-B592-4AD6-81F1-80F71D8B3CCC}"/>
    <cellStyle name="Comma 4 2 4 6 3" xfId="7096" xr:uid="{1606E55B-5577-44FF-86C7-8C3BCE8AFD23}"/>
    <cellStyle name="Comma 4 2 4 7" xfId="3229" xr:uid="{BB8A3312-AEF7-4DD1-A82D-402A1C8E0438}"/>
    <cellStyle name="Comma 4 2 4 7 2" xfId="7509" xr:uid="{BD3DEF85-E0E9-4ABE-BFCB-A25BBAB91301}"/>
    <cellStyle name="Comma 4 2 4 8" xfId="3204" xr:uid="{F290ACFD-B4B3-42EF-B612-5563FC4959D6}"/>
    <cellStyle name="Comma 4 2 4 9" xfId="3607" xr:uid="{A7913C57-E5C5-417D-9798-A6207B39BE6B}"/>
    <cellStyle name="Comma 4 2 4 9 2" xfId="7826" xr:uid="{CCC889ED-0B64-42B4-9B0A-2DAD9CB5CA99}"/>
    <cellStyle name="Comma 4 2 5" xfId="142" xr:uid="{00000000-0005-0000-0000-0000FB000000}"/>
    <cellStyle name="Comma 4 2 5 10" xfId="1141" xr:uid="{0FFF5F71-17B7-411D-A6D4-275984070F13}"/>
    <cellStyle name="Comma 4 2 5 2" xfId="688" xr:uid="{00000000-0005-0000-0000-0000FC000000}"/>
    <cellStyle name="Comma 4 2 5 2 2" xfId="3786" xr:uid="{92165FDF-3974-4B1E-B801-B80D2BFDA4D4}"/>
    <cellStyle name="Comma 4 2 5 2 2 2" xfId="8004" xr:uid="{3A5EC857-4B7E-4197-936B-E430DC6809E5}"/>
    <cellStyle name="Comma 4 2 5 2 3" xfId="5859" xr:uid="{FD339FD4-E321-4A38-BFAB-D4C6B3C26F75}"/>
    <cellStyle name="Comma 4 2 5 2 4" xfId="1555" xr:uid="{F926FB74-D31A-491E-A917-C09023E38C78}"/>
    <cellStyle name="Comma 4 2 5 3" xfId="1970" xr:uid="{FBD9A066-52B3-415F-AF47-ED37DD05145E}"/>
    <cellStyle name="Comma 4 2 5 3 2" xfId="4199" xr:uid="{22055A3C-7060-4449-A72D-BF8E9ACA4DDE}"/>
    <cellStyle name="Comma 4 2 5 3 2 2" xfId="8417" xr:uid="{EFE04DE8-2590-4A0F-AAE2-CA35ECAC4765}"/>
    <cellStyle name="Comma 4 2 5 3 3" xfId="6272" xr:uid="{0C5786DE-6BB6-4985-B054-19E5820BB1D3}"/>
    <cellStyle name="Comma 4 2 5 4" xfId="2383" xr:uid="{F4A4D796-EF75-4815-8819-E43213321C89}"/>
    <cellStyle name="Comma 4 2 5 4 2" xfId="4612" xr:uid="{0701E040-17CF-430F-A4A2-1F18042C6069}"/>
    <cellStyle name="Comma 4 2 5 4 2 2" xfId="8830" xr:uid="{B68DA08B-9EC4-469A-8C25-26655D350043}"/>
    <cellStyle name="Comma 4 2 5 4 3" xfId="6685" xr:uid="{6835FD4A-E29E-451F-A63E-B67228CD8F31}"/>
    <cellStyle name="Comma 4 2 5 5" xfId="2796" xr:uid="{30248E19-1E84-4BD9-B4E1-01092EC5CCD7}"/>
    <cellStyle name="Comma 4 2 5 5 2" xfId="5025" xr:uid="{483D3671-E39B-42A3-AE2C-11F535834EF9}"/>
    <cellStyle name="Comma 4 2 5 5 2 2" xfId="9243" xr:uid="{EA3C1344-5464-43DE-9247-81B8226742DB}"/>
    <cellStyle name="Comma 4 2 5 5 3" xfId="7098" xr:uid="{378938A8-AF02-470F-8F27-0512EA611DBE}"/>
    <cellStyle name="Comma 4 2 5 6" xfId="3231" xr:uid="{B2020AE8-3BDB-4C9E-9D32-2BAB97D38404}"/>
    <cellStyle name="Comma 4 2 5 6 2" xfId="7511" xr:uid="{B6DE091F-123C-4976-9112-0B1EACBAA24B}"/>
    <cellStyle name="Comma 4 2 5 7" xfId="3202" xr:uid="{6C9D3187-423F-43E1-A21A-28A5E605E54B}"/>
    <cellStyle name="Comma 4 2 5 8" xfId="3609" xr:uid="{C853A7A6-A7F3-42A6-96BA-2570EE2DA256}"/>
    <cellStyle name="Comma 4 2 5 8 2" xfId="7828" xr:uid="{C601974D-6E62-4FCE-8799-D3DC0206769E}"/>
    <cellStyle name="Comma 4 2 5 9" xfId="5445" xr:uid="{FEBC8546-1A8D-4EB3-8922-F75F9CEA5BF5}"/>
    <cellStyle name="Comma 4 2 6" xfId="143" xr:uid="{00000000-0005-0000-0000-0000FD000000}"/>
    <cellStyle name="Comma 4 2 6 10" xfId="1142" xr:uid="{F221E084-DC8C-4E1F-841B-1DBF1C360301}"/>
    <cellStyle name="Comma 4 2 6 2" xfId="689" xr:uid="{00000000-0005-0000-0000-0000FE000000}"/>
    <cellStyle name="Comma 4 2 6 2 2" xfId="3787" xr:uid="{2CB5D28D-55C6-4EF3-985D-59431E28930A}"/>
    <cellStyle name="Comma 4 2 6 2 2 2" xfId="8005" xr:uid="{FCAB4A4C-1A11-4300-B220-12CC65B48F27}"/>
    <cellStyle name="Comma 4 2 6 2 3" xfId="5860" xr:uid="{D8EEE22C-AFFD-4951-9D5D-C6C0A9E0F7A4}"/>
    <cellStyle name="Comma 4 2 6 2 4" xfId="1556" xr:uid="{A1AD289D-2595-4786-B444-2766CF60C573}"/>
    <cellStyle name="Comma 4 2 6 3" xfId="1971" xr:uid="{0D875E91-1702-4C2F-A311-8C01FC0C4DAA}"/>
    <cellStyle name="Comma 4 2 6 3 2" xfId="4200" xr:uid="{0F492956-D3DB-4BE4-B502-EFB26A3F4453}"/>
    <cellStyle name="Comma 4 2 6 3 2 2" xfId="8418" xr:uid="{E738869A-307B-4150-A0EB-73E845E9EDE4}"/>
    <cellStyle name="Comma 4 2 6 3 3" xfId="6273" xr:uid="{DCBD53D2-E9CA-4654-A7E2-45C1E70AC1ED}"/>
    <cellStyle name="Comma 4 2 6 4" xfId="2384" xr:uid="{1DD6184A-5A38-45C3-A869-145B7F3F70FF}"/>
    <cellStyle name="Comma 4 2 6 4 2" xfId="4613" xr:uid="{EB9D4EEE-CE9A-4F85-83F5-0C9D4AEB0C71}"/>
    <cellStyle name="Comma 4 2 6 4 2 2" xfId="8831" xr:uid="{628EECF6-2015-46DA-A7CD-7A7BE56A9D2A}"/>
    <cellStyle name="Comma 4 2 6 4 3" xfId="6686" xr:uid="{DFA0DAF5-77FD-48B5-9F28-7512DE10CC3C}"/>
    <cellStyle name="Comma 4 2 6 5" xfId="2797" xr:uid="{42581628-8740-4C70-BFB6-41933A3C73AE}"/>
    <cellStyle name="Comma 4 2 6 5 2" xfId="5026" xr:uid="{5A808DE4-78E2-4CB6-B936-34BCF57918CE}"/>
    <cellStyle name="Comma 4 2 6 5 2 2" xfId="9244" xr:uid="{5B39A858-50D8-430B-A107-FC44DEEE570F}"/>
    <cellStyle name="Comma 4 2 6 5 3" xfId="7099" xr:uid="{19A78AAE-3B12-4E57-9A78-D87DD301CEB4}"/>
    <cellStyle name="Comma 4 2 6 6" xfId="3232" xr:uid="{C6C8C720-3F6C-4E3D-82C4-04DA84379398}"/>
    <cellStyle name="Comma 4 2 6 6 2" xfId="7512" xr:uid="{4B4B65E0-FE85-4D19-AC94-52B456836F00}"/>
    <cellStyle name="Comma 4 2 6 7" xfId="3201" xr:uid="{716A7B00-D868-44EF-B65F-3B8DA66A6903}"/>
    <cellStyle name="Comma 4 2 6 8" xfId="3610" xr:uid="{F2350B73-3226-415B-9705-9704906651DE}"/>
    <cellStyle name="Comma 4 2 6 8 2" xfId="7829" xr:uid="{0CFAAA6F-A162-4897-928C-FB7D857E1583}"/>
    <cellStyle name="Comma 4 2 6 9" xfId="5446" xr:uid="{3B1E51E7-749E-4287-AF13-BD67F3E7A130}"/>
    <cellStyle name="Comma 4 3" xfId="144" xr:uid="{00000000-0005-0000-0000-0000FF000000}"/>
    <cellStyle name="Comma 4 3 2" xfId="145" xr:uid="{00000000-0005-0000-0000-000000010000}"/>
    <cellStyle name="Comma 4 3 2 10" xfId="3611" xr:uid="{8AFB66C6-B701-479B-9B63-D9FFEC0B4A14}"/>
    <cellStyle name="Comma 4 3 2 10 2" xfId="7830" xr:uid="{A6BEE96B-12BF-4CC2-B34A-45A323E73616}"/>
    <cellStyle name="Comma 4 3 2 11" xfId="5447" xr:uid="{27781D7E-D67C-4EA8-9550-642186A1883F}"/>
    <cellStyle name="Comma 4 3 2 12" xfId="1143" xr:uid="{72338FD6-7140-4A0B-9026-88562903ADC7}"/>
    <cellStyle name="Comma 4 3 2 2" xfId="146" xr:uid="{00000000-0005-0000-0000-000001010000}"/>
    <cellStyle name="Comma 4 3 2 2 10" xfId="5448" xr:uid="{2F68B8E4-4C3A-4782-9F31-E5593ACA98BE}"/>
    <cellStyle name="Comma 4 3 2 2 11" xfId="1144" xr:uid="{AB6B30E0-5B31-4D93-947B-30AE02974AC2}"/>
    <cellStyle name="Comma 4 3 2 2 2" xfId="147" xr:uid="{00000000-0005-0000-0000-000002010000}"/>
    <cellStyle name="Comma 4 3 2 2 2 10" xfId="1145" xr:uid="{F78C629E-74F1-432C-BFE2-A4660968B8BA}"/>
    <cellStyle name="Comma 4 3 2 2 2 2" xfId="692" xr:uid="{00000000-0005-0000-0000-000003010000}"/>
    <cellStyle name="Comma 4 3 2 2 2 2 2" xfId="3790" xr:uid="{329D013B-6BA1-4770-9697-AD55FB0F129E}"/>
    <cellStyle name="Comma 4 3 2 2 2 2 2 2" xfId="8008" xr:uid="{3210771B-A4D1-45F8-9F1A-613B8C1C8511}"/>
    <cellStyle name="Comma 4 3 2 2 2 2 3" xfId="5863" xr:uid="{3625C051-2E4E-463B-9646-A6A0947EFADF}"/>
    <cellStyle name="Comma 4 3 2 2 2 2 4" xfId="1559" xr:uid="{AC23DE98-34D7-46A7-B617-0898CD255D1F}"/>
    <cellStyle name="Comma 4 3 2 2 2 3" xfId="1974" xr:uid="{17B5A8FD-672B-4990-AE12-8142AAB03BE6}"/>
    <cellStyle name="Comma 4 3 2 2 2 3 2" xfId="4203" xr:uid="{1D348698-AADC-4047-80B2-77ED3D3DEA0D}"/>
    <cellStyle name="Comma 4 3 2 2 2 3 2 2" xfId="8421" xr:uid="{59B519C6-8390-4EDA-B374-951BFC36493C}"/>
    <cellStyle name="Comma 4 3 2 2 2 3 3" xfId="6276" xr:uid="{8A480D5C-6AF4-4FBB-877B-03A235C513FD}"/>
    <cellStyle name="Comma 4 3 2 2 2 4" xfId="2387" xr:uid="{7070EFD0-0BE5-4524-B704-338A4094185A}"/>
    <cellStyle name="Comma 4 3 2 2 2 4 2" xfId="4616" xr:uid="{04F51A57-89F1-48A3-A4BC-A20B71AA353E}"/>
    <cellStyle name="Comma 4 3 2 2 2 4 2 2" xfId="8834" xr:uid="{6F915408-4434-43C1-B8A0-5CB79A176074}"/>
    <cellStyle name="Comma 4 3 2 2 2 4 3" xfId="6689" xr:uid="{014C9A01-CA40-49AD-907A-49F1CFD63A4B}"/>
    <cellStyle name="Comma 4 3 2 2 2 5" xfId="2800" xr:uid="{9CA749AE-8B21-4F66-B921-47A1B6A59F85}"/>
    <cellStyle name="Comma 4 3 2 2 2 5 2" xfId="5029" xr:uid="{7966F0EA-177C-44A9-9186-ACD3F7AEBE71}"/>
    <cellStyle name="Comma 4 3 2 2 2 5 2 2" xfId="9247" xr:uid="{29A7BA65-BA2A-447C-8578-59941BFA9554}"/>
    <cellStyle name="Comma 4 3 2 2 2 5 3" xfId="7102" xr:uid="{933484C5-9398-4A6F-9E1D-A7C448B326E1}"/>
    <cellStyle name="Comma 4 3 2 2 2 6" xfId="3235" xr:uid="{4F442D24-EAB7-4E71-88E6-1530B19A6ECA}"/>
    <cellStyle name="Comma 4 3 2 2 2 6 2" xfId="7515" xr:uid="{9CC795D3-D366-4497-9D82-CF7FF8D8157E}"/>
    <cellStyle name="Comma 4 3 2 2 2 7" xfId="3198" xr:uid="{698BAC62-321B-430B-A8BB-A131E039A496}"/>
    <cellStyle name="Comma 4 3 2 2 2 8" xfId="3613" xr:uid="{3F94432B-8EEB-44FC-9881-F7F3BFA44CB4}"/>
    <cellStyle name="Comma 4 3 2 2 2 8 2" xfId="7832" xr:uid="{4DB702EA-0415-4807-AC7D-F66B1EB9A125}"/>
    <cellStyle name="Comma 4 3 2 2 2 9" xfId="5449" xr:uid="{3C33034E-C200-4235-BF18-913B746288CF}"/>
    <cellStyle name="Comma 4 3 2 2 3" xfId="691" xr:uid="{00000000-0005-0000-0000-000004010000}"/>
    <cellStyle name="Comma 4 3 2 2 3 2" xfId="3789" xr:uid="{D5AEE929-D920-495A-B4C2-B20D20FB6158}"/>
    <cellStyle name="Comma 4 3 2 2 3 2 2" xfId="8007" xr:uid="{0150D006-7A12-4023-B9A6-349BB833A337}"/>
    <cellStyle name="Comma 4 3 2 2 3 3" xfId="5862" xr:uid="{1FEA9D5A-DDD1-4460-AD9D-5E858D48D3FE}"/>
    <cellStyle name="Comma 4 3 2 2 3 4" xfId="1558" xr:uid="{1F4888EB-A15C-4D4B-B3FA-5BF6E8D9FB8B}"/>
    <cellStyle name="Comma 4 3 2 2 4" xfId="1973" xr:uid="{4B437039-0719-480E-8BE5-425A219382E1}"/>
    <cellStyle name="Comma 4 3 2 2 4 2" xfId="4202" xr:uid="{50D2ED52-4109-44FD-90B9-284129955E4E}"/>
    <cellStyle name="Comma 4 3 2 2 4 2 2" xfId="8420" xr:uid="{A48A8105-DEA7-4455-9456-2A992E29CCDD}"/>
    <cellStyle name="Comma 4 3 2 2 4 3" xfId="6275" xr:uid="{271DB51C-A791-4D8D-8A0A-2C1736FE2D36}"/>
    <cellStyle name="Comma 4 3 2 2 5" xfId="2386" xr:uid="{C819D125-938B-46F1-BA2E-75AD898E6E44}"/>
    <cellStyle name="Comma 4 3 2 2 5 2" xfId="4615" xr:uid="{8FC9A3E3-0EF6-41F7-9A29-82A98F9CF9A7}"/>
    <cellStyle name="Comma 4 3 2 2 5 2 2" xfId="8833" xr:uid="{BB8DAE77-94F4-405F-BED8-28E3DEC74A6E}"/>
    <cellStyle name="Comma 4 3 2 2 5 3" xfId="6688" xr:uid="{1977C496-1109-4E2D-BA22-94E7EDFDD593}"/>
    <cellStyle name="Comma 4 3 2 2 6" xfId="2799" xr:uid="{CB8B8BFB-863E-41FE-86CA-64893CBE3DEF}"/>
    <cellStyle name="Comma 4 3 2 2 6 2" xfId="5028" xr:uid="{5CBDB434-8049-4262-888D-C36BB64D8613}"/>
    <cellStyle name="Comma 4 3 2 2 6 2 2" xfId="9246" xr:uid="{BF3E3C21-D73C-4605-A539-91C03166E03B}"/>
    <cellStyle name="Comma 4 3 2 2 6 3" xfId="7101" xr:uid="{22B9B82C-ECD4-4966-96A4-D3912E4CF779}"/>
    <cellStyle name="Comma 4 3 2 2 7" xfId="3234" xr:uid="{41C27E2E-4C3C-47B0-8CEB-7450A36E17C1}"/>
    <cellStyle name="Comma 4 3 2 2 7 2" xfId="7514" xr:uid="{3278912E-B39C-45D6-B775-229AC2875BDD}"/>
    <cellStyle name="Comma 4 3 2 2 8" xfId="3199" xr:uid="{944B6B26-33AA-4AC8-8085-B03481703D31}"/>
    <cellStyle name="Comma 4 3 2 2 9" xfId="3612" xr:uid="{F546D4FC-39E0-4D62-999E-9A5E94BC699E}"/>
    <cellStyle name="Comma 4 3 2 2 9 2" xfId="7831" xr:uid="{499ABE00-BE3A-46C2-9D8F-2ED740F9428D}"/>
    <cellStyle name="Comma 4 3 2 3" xfId="148" xr:uid="{00000000-0005-0000-0000-000005010000}"/>
    <cellStyle name="Comma 4 3 2 3 10" xfId="1146" xr:uid="{26D07C5A-F73D-41CB-9645-345F1EF20A1D}"/>
    <cellStyle name="Comma 4 3 2 3 2" xfId="693" xr:uid="{00000000-0005-0000-0000-000006010000}"/>
    <cellStyle name="Comma 4 3 2 3 2 2" xfId="3791" xr:uid="{79843BE0-6450-4ABE-805A-E104648EEFB4}"/>
    <cellStyle name="Comma 4 3 2 3 2 2 2" xfId="8009" xr:uid="{9CA4FF5E-2283-491E-A9DE-E46BFCACDAE4}"/>
    <cellStyle name="Comma 4 3 2 3 2 3" xfId="5864" xr:uid="{2E9A3557-9F5E-4D5D-84B2-64BB75985185}"/>
    <cellStyle name="Comma 4 3 2 3 2 4" xfId="1560" xr:uid="{E6ED2A78-4404-4CB2-B45A-CE4E8B84D354}"/>
    <cellStyle name="Comma 4 3 2 3 3" xfId="1975" xr:uid="{3E731DCE-C3B9-45D8-8165-3D81E859BF06}"/>
    <cellStyle name="Comma 4 3 2 3 3 2" xfId="4204" xr:uid="{CCB09229-5DAE-446F-AEB2-C46C3D203818}"/>
    <cellStyle name="Comma 4 3 2 3 3 2 2" xfId="8422" xr:uid="{5701E576-A29F-4755-BDE7-431BCCFF64E0}"/>
    <cellStyle name="Comma 4 3 2 3 3 3" xfId="6277" xr:uid="{9B742B3A-5BFB-4F92-A93F-6B51719EBF6C}"/>
    <cellStyle name="Comma 4 3 2 3 4" xfId="2388" xr:uid="{F1F51FCE-4DD5-488E-B859-0737821FBAB6}"/>
    <cellStyle name="Comma 4 3 2 3 4 2" xfId="4617" xr:uid="{3064F908-F0ED-498C-B47C-007E7BDD1D12}"/>
    <cellStyle name="Comma 4 3 2 3 4 2 2" xfId="8835" xr:uid="{6F039FCD-3871-49E6-AAF6-3FCE58C0D929}"/>
    <cellStyle name="Comma 4 3 2 3 4 3" xfId="6690" xr:uid="{B0CDF95F-963B-4822-92B3-D563F3FC3D35}"/>
    <cellStyle name="Comma 4 3 2 3 5" xfId="2801" xr:uid="{6C890485-0D3F-4BEF-AEEA-D8D1C2D244B9}"/>
    <cellStyle name="Comma 4 3 2 3 5 2" xfId="5030" xr:uid="{0A36BE84-AB3D-4B54-9443-7CC122DABB0B}"/>
    <cellStyle name="Comma 4 3 2 3 5 2 2" xfId="9248" xr:uid="{BC1FA756-0D0F-4CA0-A4F7-233BC83A1D28}"/>
    <cellStyle name="Comma 4 3 2 3 5 3" xfId="7103" xr:uid="{EEF7C5BF-6B7A-4C98-AD42-3917C4D1C855}"/>
    <cellStyle name="Comma 4 3 2 3 6" xfId="3236" xr:uid="{4A0C91F2-9174-4FF0-962F-4BD9B22DF786}"/>
    <cellStyle name="Comma 4 3 2 3 6 2" xfId="7516" xr:uid="{BD0B60F2-564D-467D-8D4F-4F035F7E6397}"/>
    <cellStyle name="Comma 4 3 2 3 7" xfId="3197" xr:uid="{BA11B738-9B69-4367-BFF3-FC29E32412A8}"/>
    <cellStyle name="Comma 4 3 2 3 8" xfId="3614" xr:uid="{58B19FFC-F86B-4EA5-B29C-AD57355CAF0C}"/>
    <cellStyle name="Comma 4 3 2 3 8 2" xfId="7833" xr:uid="{4DB25F7B-BFC6-4151-9E40-18A4D45C5AFF}"/>
    <cellStyle name="Comma 4 3 2 3 9" xfId="5450" xr:uid="{79A67066-DCEC-4733-8037-6CB94CBB947D}"/>
    <cellStyle name="Comma 4 3 2 4" xfId="690" xr:uid="{00000000-0005-0000-0000-000007010000}"/>
    <cellStyle name="Comma 4 3 2 4 2" xfId="3788" xr:uid="{77EBB40C-4A08-42F6-8BDC-D3FE3F0942B8}"/>
    <cellStyle name="Comma 4 3 2 4 2 2" xfId="8006" xr:uid="{D0F515BE-035C-4251-8CCC-94A2B688E45D}"/>
    <cellStyle name="Comma 4 3 2 4 3" xfId="5861" xr:uid="{C203F59B-CE4B-4C5B-A3D8-D0AC6D6FB1C1}"/>
    <cellStyle name="Comma 4 3 2 4 4" xfId="1557" xr:uid="{A2719C31-B97A-4899-BA9C-175EA0032DF6}"/>
    <cellStyle name="Comma 4 3 2 5" xfId="1972" xr:uid="{0BEBA078-74C0-4441-A132-BE348902ECF9}"/>
    <cellStyle name="Comma 4 3 2 5 2" xfId="4201" xr:uid="{7573E78B-C8DB-41BD-92E0-F6D55BDEA7C3}"/>
    <cellStyle name="Comma 4 3 2 5 2 2" xfId="8419" xr:uid="{FD2045CE-6EA2-4BCD-8934-B1976F4FD225}"/>
    <cellStyle name="Comma 4 3 2 5 3" xfId="6274" xr:uid="{35B06F48-3A4F-40A6-8755-ACD2793158BC}"/>
    <cellStyle name="Comma 4 3 2 6" xfId="2385" xr:uid="{5A648F1A-16BC-48C5-8912-13E99CF126CA}"/>
    <cellStyle name="Comma 4 3 2 6 2" xfId="4614" xr:uid="{6B15B997-0CB0-4A66-B3AB-9C486EBE50A6}"/>
    <cellStyle name="Comma 4 3 2 6 2 2" xfId="8832" xr:uid="{90C5241F-36B1-471B-8281-CC0888B3661F}"/>
    <cellStyle name="Comma 4 3 2 6 3" xfId="6687" xr:uid="{5BB390B5-BE54-43B6-842C-3405F5D1D8C4}"/>
    <cellStyle name="Comma 4 3 2 7" xfId="2798" xr:uid="{5966E39F-60AB-459E-B40F-8454014A6252}"/>
    <cellStyle name="Comma 4 3 2 7 2" xfId="5027" xr:uid="{7B064CF0-7AE1-404B-9227-19A3D46A3D6C}"/>
    <cellStyle name="Comma 4 3 2 7 2 2" xfId="9245" xr:uid="{38D26F03-C142-4C97-A76F-7D8A1F37086C}"/>
    <cellStyle name="Comma 4 3 2 7 3" xfId="7100" xr:uid="{C6B0AA5B-DDA1-4233-A370-FF10EB87D39D}"/>
    <cellStyle name="Comma 4 3 2 8" xfId="3233" xr:uid="{3E84412A-5D4A-4E57-B495-64E9BFD2CB6E}"/>
    <cellStyle name="Comma 4 3 2 8 2" xfId="7513" xr:uid="{ECCFD560-7966-4AEC-8E95-F5CE8762F060}"/>
    <cellStyle name="Comma 4 3 2 9" xfId="3200" xr:uid="{DB7B038B-63DB-42B2-B5B1-C0C013170539}"/>
    <cellStyle name="Comma 4 3 3" xfId="149" xr:uid="{00000000-0005-0000-0000-000008010000}"/>
    <cellStyle name="Comma 4 3 3 10" xfId="5451" xr:uid="{F2C95D50-5BE1-48A5-8988-7A6ADB19F3B4}"/>
    <cellStyle name="Comma 4 3 3 11" xfId="1147" xr:uid="{E255DDB5-0F6E-4DB4-B85A-A14F16C37053}"/>
    <cellStyle name="Comma 4 3 3 2" xfId="150" xr:uid="{00000000-0005-0000-0000-000009010000}"/>
    <cellStyle name="Comma 4 3 3 2 10" xfId="1148" xr:uid="{30B1C347-ABA5-4074-A30B-DB333053598D}"/>
    <cellStyle name="Comma 4 3 3 2 2" xfId="695" xr:uid="{00000000-0005-0000-0000-00000A010000}"/>
    <cellStyle name="Comma 4 3 3 2 2 2" xfId="3793" xr:uid="{22BA2A8A-E554-42D5-8923-2024A8BD10B2}"/>
    <cellStyle name="Comma 4 3 3 2 2 2 2" xfId="8011" xr:uid="{F80855D3-FD27-4195-9B2A-E646DC19A371}"/>
    <cellStyle name="Comma 4 3 3 2 2 3" xfId="5866" xr:uid="{572B14CD-4846-4B4B-9B9F-4593AA1B7B8D}"/>
    <cellStyle name="Comma 4 3 3 2 2 4" xfId="1562" xr:uid="{AC989311-4E80-499C-832F-27F0A0E99F71}"/>
    <cellStyle name="Comma 4 3 3 2 3" xfId="1977" xr:uid="{916E55FE-90BC-4574-9B18-7B3C64709E3B}"/>
    <cellStyle name="Comma 4 3 3 2 3 2" xfId="4206" xr:uid="{EF3E418A-94AA-4B89-A090-AA898B29EBB0}"/>
    <cellStyle name="Comma 4 3 3 2 3 2 2" xfId="8424" xr:uid="{592862A4-BA78-4BA8-A8A9-957E21052360}"/>
    <cellStyle name="Comma 4 3 3 2 3 3" xfId="6279" xr:uid="{B450A766-CAF0-4A76-91C1-41914B1B5FEE}"/>
    <cellStyle name="Comma 4 3 3 2 4" xfId="2390" xr:uid="{800FD59A-4FBA-42F6-B671-46EB952B574D}"/>
    <cellStyle name="Comma 4 3 3 2 4 2" xfId="4619" xr:uid="{5750C9BA-72EE-445D-BF29-F2C8B26A65FA}"/>
    <cellStyle name="Comma 4 3 3 2 4 2 2" xfId="8837" xr:uid="{84300F94-DB0A-42B5-8B23-370DA4856FD1}"/>
    <cellStyle name="Comma 4 3 3 2 4 3" xfId="6692" xr:uid="{1615CAB4-FA4B-435B-833A-A9309E79D6B1}"/>
    <cellStyle name="Comma 4 3 3 2 5" xfId="2803" xr:uid="{64354F14-7DD5-4114-820A-090227953880}"/>
    <cellStyle name="Comma 4 3 3 2 5 2" xfId="5032" xr:uid="{9CD0292C-6D42-4E9A-AEC7-65044C487BC5}"/>
    <cellStyle name="Comma 4 3 3 2 5 2 2" xfId="9250" xr:uid="{6E317FA9-78A8-432D-940C-BCFDE0C91A3E}"/>
    <cellStyle name="Comma 4 3 3 2 5 3" xfId="7105" xr:uid="{A041A0B1-2BC8-4D61-9EC4-C8CDA1E9A615}"/>
    <cellStyle name="Comma 4 3 3 2 6" xfId="3238" xr:uid="{0979055C-B808-4D0F-9031-6335347C2784}"/>
    <cellStyle name="Comma 4 3 3 2 6 2" xfId="7518" xr:uid="{111E6B5E-4B22-4916-9FE2-F18A74BDC3B3}"/>
    <cellStyle name="Comma 4 3 3 2 7" xfId="3195" xr:uid="{F9F35922-9AC4-4DE0-B673-3E07D0369A6C}"/>
    <cellStyle name="Comma 4 3 3 2 8" xfId="3616" xr:uid="{BE43FDAF-C9EB-4313-A858-64E061F93047}"/>
    <cellStyle name="Comma 4 3 3 2 8 2" xfId="7835" xr:uid="{9EF49BCA-539A-4E67-9FA3-D35E7D320EC8}"/>
    <cellStyle name="Comma 4 3 3 2 9" xfId="5452" xr:uid="{9B91665F-A7FC-49CA-8755-FD4E98388D97}"/>
    <cellStyle name="Comma 4 3 3 3" xfId="694" xr:uid="{00000000-0005-0000-0000-00000B010000}"/>
    <cellStyle name="Comma 4 3 3 3 2" xfId="3792" xr:uid="{C9BBB9CA-3228-4995-9B10-0077B93E6D4E}"/>
    <cellStyle name="Comma 4 3 3 3 2 2" xfId="8010" xr:uid="{B84D3F5E-C36B-429B-B518-7607FAB8C191}"/>
    <cellStyle name="Comma 4 3 3 3 3" xfId="5865" xr:uid="{5D958280-CF70-4122-AE52-0FCCB43D0284}"/>
    <cellStyle name="Comma 4 3 3 3 4" xfId="1561" xr:uid="{40B263D3-0653-4E7D-A745-B3554E264C32}"/>
    <cellStyle name="Comma 4 3 3 4" xfId="1976" xr:uid="{C4365B0A-8E61-4223-9D1B-555648B149CF}"/>
    <cellStyle name="Comma 4 3 3 4 2" xfId="4205" xr:uid="{0CF59D94-BFAC-453B-9618-B26540841085}"/>
    <cellStyle name="Comma 4 3 3 4 2 2" xfId="8423" xr:uid="{0EB7563D-A119-4F7C-83DA-96396B04A640}"/>
    <cellStyle name="Comma 4 3 3 4 3" xfId="6278" xr:uid="{ED0E89ED-04F3-47FD-9BDA-638AA6D182D6}"/>
    <cellStyle name="Comma 4 3 3 5" xfId="2389" xr:uid="{5C5D69F9-319D-4702-997C-430DC32A319B}"/>
    <cellStyle name="Comma 4 3 3 5 2" xfId="4618" xr:uid="{9E5ACC7E-BB46-475C-BC4C-5A5A33FCC443}"/>
    <cellStyle name="Comma 4 3 3 5 2 2" xfId="8836" xr:uid="{14CDE32B-41B0-494E-916C-47D931FC4962}"/>
    <cellStyle name="Comma 4 3 3 5 3" xfId="6691" xr:uid="{50A5D384-B44B-4542-93CB-9DAD0F5DFBAB}"/>
    <cellStyle name="Comma 4 3 3 6" xfId="2802" xr:uid="{12695953-8169-40AF-93F2-00729D31E1D6}"/>
    <cellStyle name="Comma 4 3 3 6 2" xfId="5031" xr:uid="{FC8254C9-7A32-461C-BE80-A9A2FFC3E1B2}"/>
    <cellStyle name="Comma 4 3 3 6 2 2" xfId="9249" xr:uid="{59F7BA2B-89DC-46CC-98F5-49D6F6C338F3}"/>
    <cellStyle name="Comma 4 3 3 6 3" xfId="7104" xr:uid="{8373B507-8B92-4576-9D88-CC36A134657F}"/>
    <cellStyle name="Comma 4 3 3 7" xfId="3237" xr:uid="{6CE33FB9-CB09-4B0A-A4D3-CFF541BA6CD2}"/>
    <cellStyle name="Comma 4 3 3 7 2" xfId="7517" xr:uid="{71B0374A-A02B-4E0A-80C4-686F62FCF9B6}"/>
    <cellStyle name="Comma 4 3 3 8" xfId="3196" xr:uid="{7461CD3E-4271-4006-8FB0-920FB2F23586}"/>
    <cellStyle name="Comma 4 3 3 9" xfId="3615" xr:uid="{2B242A63-E5A7-4AC9-8F03-559D11C77904}"/>
    <cellStyle name="Comma 4 3 3 9 2" xfId="7834" xr:uid="{BD252586-580F-440B-8A7C-E19846D67A5A}"/>
    <cellStyle name="Comma 4 3 4" xfId="151" xr:uid="{00000000-0005-0000-0000-00000C010000}"/>
    <cellStyle name="Comma 4 3 4 10" xfId="1149" xr:uid="{7B367BDA-746E-4FE1-968D-5CD52EE7535E}"/>
    <cellStyle name="Comma 4 3 4 2" xfId="696" xr:uid="{00000000-0005-0000-0000-00000D010000}"/>
    <cellStyle name="Comma 4 3 4 2 2" xfId="3794" xr:uid="{9C3FDE14-F2FB-4DD0-A617-DA6690BA5C42}"/>
    <cellStyle name="Comma 4 3 4 2 2 2" xfId="8012" xr:uid="{85EF0443-35D4-4E6B-B12F-F5095F490461}"/>
    <cellStyle name="Comma 4 3 4 2 3" xfId="5867" xr:uid="{716D5580-C363-4199-A984-E25E32782455}"/>
    <cellStyle name="Comma 4 3 4 2 4" xfId="1563" xr:uid="{643A2263-9ADE-4795-9925-3133ADF87F5E}"/>
    <cellStyle name="Comma 4 3 4 3" xfId="1978" xr:uid="{702D33CE-A89C-44C6-804E-59DC96882C3C}"/>
    <cellStyle name="Comma 4 3 4 3 2" xfId="4207" xr:uid="{AF8EF222-98FE-4F5C-8D57-A3D7D0B7FA90}"/>
    <cellStyle name="Comma 4 3 4 3 2 2" xfId="8425" xr:uid="{578B8DC6-472C-4C29-9C65-2A1FFF4FA94C}"/>
    <cellStyle name="Comma 4 3 4 3 3" xfId="6280" xr:uid="{F37EFAEA-B6A1-45EC-B358-62C84775C55D}"/>
    <cellStyle name="Comma 4 3 4 4" xfId="2391" xr:uid="{647104A1-5F6F-4E41-A78A-1D7223715505}"/>
    <cellStyle name="Comma 4 3 4 4 2" xfId="4620" xr:uid="{3AAFE71B-38E1-4EF3-A74D-932809E78CB4}"/>
    <cellStyle name="Comma 4 3 4 4 2 2" xfId="8838" xr:uid="{63367E36-DEA0-408B-8369-9CACC3CDF708}"/>
    <cellStyle name="Comma 4 3 4 4 3" xfId="6693" xr:uid="{D43EC381-7092-4530-9828-C090C51B1E8A}"/>
    <cellStyle name="Comma 4 3 4 5" xfId="2804" xr:uid="{394E4AF7-C0F5-441F-993B-A7D7D5C3CEDC}"/>
    <cellStyle name="Comma 4 3 4 5 2" xfId="5033" xr:uid="{F5690EF9-87B5-4A60-B2A3-3CFA8D2FC15E}"/>
    <cellStyle name="Comma 4 3 4 5 2 2" xfId="9251" xr:uid="{55F283F0-FCF9-4FFC-897D-F8640A8BB3B6}"/>
    <cellStyle name="Comma 4 3 4 5 3" xfId="7106" xr:uid="{E9085090-1466-4A91-B5C5-C39521E01906}"/>
    <cellStyle name="Comma 4 3 4 6" xfId="3239" xr:uid="{1573777C-AC18-4B7B-83C8-FBE0FB40FB89}"/>
    <cellStyle name="Comma 4 3 4 6 2" xfId="7519" xr:uid="{D2973899-5BF9-473E-B91D-EF7A37715235}"/>
    <cellStyle name="Comma 4 3 4 7" xfId="3535" xr:uid="{CF88749C-9FA2-4B49-AC9B-B0E5115AA636}"/>
    <cellStyle name="Comma 4 3 4 8" xfId="3617" xr:uid="{CC912A65-B936-4BAF-A4FD-30E7D2CE61E7}"/>
    <cellStyle name="Comma 4 3 4 8 2" xfId="7836" xr:uid="{5625EFFF-1BDD-4810-8024-60F338256EE2}"/>
    <cellStyle name="Comma 4 3 4 9" xfId="5453" xr:uid="{489A061F-3148-4486-A04F-D4B2715CF648}"/>
    <cellStyle name="Comma 4 3 5" xfId="152" xr:uid="{00000000-0005-0000-0000-00000E010000}"/>
    <cellStyle name="Comma 4 3 5 10" xfId="1150" xr:uid="{EA1328AA-A038-4435-929A-7412354D0265}"/>
    <cellStyle name="Comma 4 3 5 2" xfId="697" xr:uid="{00000000-0005-0000-0000-00000F010000}"/>
    <cellStyle name="Comma 4 3 5 2 2" xfId="3795" xr:uid="{E8862D08-6F1C-49FB-A500-8F3076386570}"/>
    <cellStyle name="Comma 4 3 5 2 2 2" xfId="8013" xr:uid="{FE25B468-C5C6-4B2B-85F3-6408E7A6B056}"/>
    <cellStyle name="Comma 4 3 5 2 3" xfId="5868" xr:uid="{C2C1BB37-FB5E-4E76-982E-8CB4CFE86599}"/>
    <cellStyle name="Comma 4 3 5 2 4" xfId="1564" xr:uid="{F7DB8287-C8E0-431D-AA59-C8F43F612722}"/>
    <cellStyle name="Comma 4 3 5 3" xfId="1979" xr:uid="{FC9FEB09-3164-437B-A86A-2D1BFAA1CD98}"/>
    <cellStyle name="Comma 4 3 5 3 2" xfId="4208" xr:uid="{1F2924CD-241B-4B96-BA99-9F77050DAB63}"/>
    <cellStyle name="Comma 4 3 5 3 2 2" xfId="8426" xr:uid="{FE1DCD76-5DCB-488A-B3BF-7D1571556399}"/>
    <cellStyle name="Comma 4 3 5 3 3" xfId="6281" xr:uid="{0EBDC170-E9FE-4870-BA4B-62665B818E57}"/>
    <cellStyle name="Comma 4 3 5 4" xfId="2392" xr:uid="{1F634082-1B4A-4165-958C-737C607A40C8}"/>
    <cellStyle name="Comma 4 3 5 4 2" xfId="4621" xr:uid="{4BCA1385-4E29-4930-AB5C-3BD5E6F7FC84}"/>
    <cellStyle name="Comma 4 3 5 4 2 2" xfId="8839" xr:uid="{B88ED72E-59A0-4392-A76A-7B561BF314F0}"/>
    <cellStyle name="Comma 4 3 5 4 3" xfId="6694" xr:uid="{AB20E74B-D331-4AAB-A8F5-84471FD8CE52}"/>
    <cellStyle name="Comma 4 3 5 5" xfId="2805" xr:uid="{A6258E01-6E8D-4156-A200-9F02877FD2E2}"/>
    <cellStyle name="Comma 4 3 5 5 2" xfId="5034" xr:uid="{BB077FBA-BF79-4C3C-896E-9CF7DAC133FF}"/>
    <cellStyle name="Comma 4 3 5 5 2 2" xfId="9252" xr:uid="{F618A927-295B-4C83-BA24-51D7F0F89B2A}"/>
    <cellStyle name="Comma 4 3 5 5 3" xfId="7107" xr:uid="{7D2DF6A6-5210-4519-BC00-EAFEFDD1252F}"/>
    <cellStyle name="Comma 4 3 5 6" xfId="3240" xr:uid="{A2EDBE61-783C-4899-9590-6B12BDBB3367}"/>
    <cellStyle name="Comma 4 3 5 6 2" xfId="7520" xr:uid="{DC1C2A4D-328B-41B9-A1E0-A40FD24C7C50}"/>
    <cellStyle name="Comma 4 3 5 7" xfId="3536" xr:uid="{F44B68B3-0777-4034-A8D6-A59E5ABB766B}"/>
    <cellStyle name="Comma 4 3 5 8" xfId="3618" xr:uid="{7A4A5FF4-A93B-40E6-B4D0-E4909466F28D}"/>
    <cellStyle name="Comma 4 3 5 8 2" xfId="7837" xr:uid="{F82D8849-A033-4231-9DAE-6948C82F1EFF}"/>
    <cellStyle name="Comma 4 3 5 9" xfId="5454" xr:uid="{A8A8E753-69BD-495D-891F-A1ADBB1D5F31}"/>
    <cellStyle name="Comma 4 4" xfId="153" xr:uid="{00000000-0005-0000-0000-000010010000}"/>
    <cellStyle name="Comma 4 4 10" xfId="3619" xr:uid="{9DE9A8DA-D281-48CE-A338-B48A7DD2A17F}"/>
    <cellStyle name="Comma 4 4 10 2" xfId="7838" xr:uid="{94A145A9-73AA-490D-8AC1-087438EDC834}"/>
    <cellStyle name="Comma 4 4 11" xfId="5455" xr:uid="{2C6CB95B-2050-4A9B-B945-AA6A49272106}"/>
    <cellStyle name="Comma 4 4 12" xfId="1151" xr:uid="{13CB252C-0C17-4DFA-A1D0-39E40D72D8FA}"/>
    <cellStyle name="Comma 4 4 2" xfId="154" xr:uid="{00000000-0005-0000-0000-000011010000}"/>
    <cellStyle name="Comma 4 4 2 10" xfId="5456" xr:uid="{A71DA6A1-8AE0-4EE4-BB16-C0A6382D9A0C}"/>
    <cellStyle name="Comma 4 4 2 11" xfId="1152" xr:uid="{49AE79A4-CC86-43A6-9101-5ADCCB17176C}"/>
    <cellStyle name="Comma 4 4 2 2" xfId="155" xr:uid="{00000000-0005-0000-0000-000012010000}"/>
    <cellStyle name="Comma 4 4 2 2 10" xfId="1153" xr:uid="{DC1A55D5-0441-4148-9027-0E7AD4479A5D}"/>
    <cellStyle name="Comma 4 4 2 2 2" xfId="700" xr:uid="{00000000-0005-0000-0000-000013010000}"/>
    <cellStyle name="Comma 4 4 2 2 2 2" xfId="3798" xr:uid="{E5517C3D-DA82-4F62-8F81-0D3039CA027C}"/>
    <cellStyle name="Comma 4 4 2 2 2 2 2" xfId="8016" xr:uid="{A6D5EADE-1CB0-4111-A685-8E117D06A22B}"/>
    <cellStyle name="Comma 4 4 2 2 2 3" xfId="5871" xr:uid="{001213C0-1914-455E-9E1D-67BF9B1B68FF}"/>
    <cellStyle name="Comma 4 4 2 2 2 4" xfId="1567" xr:uid="{D1517018-3A5A-4C47-ABDC-44A54D40B0CB}"/>
    <cellStyle name="Comma 4 4 2 2 3" xfId="1982" xr:uid="{67039D90-6EB5-482B-B9F1-80D9CAF703D2}"/>
    <cellStyle name="Comma 4 4 2 2 3 2" xfId="4211" xr:uid="{EF9C99FA-946C-42EF-A803-D2C6B4077052}"/>
    <cellStyle name="Comma 4 4 2 2 3 2 2" xfId="8429" xr:uid="{0C5D6FA8-9749-44C0-AB5E-8DC5787DFCA9}"/>
    <cellStyle name="Comma 4 4 2 2 3 3" xfId="6284" xr:uid="{067F5B65-F8A0-45AD-B9CA-FC70D86C5876}"/>
    <cellStyle name="Comma 4 4 2 2 4" xfId="2395" xr:uid="{1A71140E-E371-45A4-ABB9-D6F3B058BEAD}"/>
    <cellStyle name="Comma 4 4 2 2 4 2" xfId="4624" xr:uid="{7558C1B2-535A-4965-B27C-8DCD359D1B52}"/>
    <cellStyle name="Comma 4 4 2 2 4 2 2" xfId="8842" xr:uid="{89A4FDFC-2D72-4B44-AD9F-B1CBC199513A}"/>
    <cellStyle name="Comma 4 4 2 2 4 3" xfId="6697" xr:uid="{8A97EEC9-79B1-4C79-A5A2-DF571A0D7BA2}"/>
    <cellStyle name="Comma 4 4 2 2 5" xfId="2808" xr:uid="{7F3AD88C-4194-4D6C-B9E0-C9906AAA2B23}"/>
    <cellStyle name="Comma 4 4 2 2 5 2" xfId="5037" xr:uid="{86B728BD-53CE-416E-8520-B9F227A99F9D}"/>
    <cellStyle name="Comma 4 4 2 2 5 2 2" xfId="9255" xr:uid="{399CC161-5F30-4D3A-A120-075FC3BBCA13}"/>
    <cellStyle name="Comma 4 4 2 2 5 3" xfId="7110" xr:uid="{E808020F-D251-43AB-B9D0-34A8F97F4BDB}"/>
    <cellStyle name="Comma 4 4 2 2 6" xfId="3243" xr:uid="{1DE54B3D-DE1D-4175-8731-B14B6DF14583}"/>
    <cellStyle name="Comma 4 4 2 2 6 2" xfId="7523" xr:uid="{5E6CE826-42DA-4E20-B621-7069F9EE5A02}"/>
    <cellStyle name="Comma 4 4 2 2 7" xfId="3539" xr:uid="{8162A257-F183-4397-A82B-F0BA3B625ADB}"/>
    <cellStyle name="Comma 4 4 2 2 8" xfId="3621" xr:uid="{E7B8F092-7C9D-4D79-AA1B-C10245271F9D}"/>
    <cellStyle name="Comma 4 4 2 2 8 2" xfId="7840" xr:uid="{EA04CB25-0450-4471-AA5F-60F35D75670F}"/>
    <cellStyle name="Comma 4 4 2 2 9" xfId="5457" xr:uid="{445ACA3D-F9D6-4A26-B65F-44B0FE29B1C9}"/>
    <cellStyle name="Comma 4 4 2 3" xfId="699" xr:uid="{00000000-0005-0000-0000-000014010000}"/>
    <cellStyle name="Comma 4 4 2 3 2" xfId="3797" xr:uid="{2E592933-9779-4C2F-9E13-AEB282BDA866}"/>
    <cellStyle name="Comma 4 4 2 3 2 2" xfId="8015" xr:uid="{C25D1FE7-754A-419C-B7CC-2106504BD1C1}"/>
    <cellStyle name="Comma 4 4 2 3 3" xfId="5870" xr:uid="{BF0CA0E2-1F93-4D21-9ADC-E6C9BAA6E0C7}"/>
    <cellStyle name="Comma 4 4 2 3 4" xfId="1566" xr:uid="{81B9F243-8744-4FEC-A297-074D0C39C3C8}"/>
    <cellStyle name="Comma 4 4 2 4" xfId="1981" xr:uid="{A8D8E980-EF9A-4CD4-865A-ADEB8A31A3E6}"/>
    <cellStyle name="Comma 4 4 2 4 2" xfId="4210" xr:uid="{17C67437-B9DA-466E-BEE4-92746DA15672}"/>
    <cellStyle name="Comma 4 4 2 4 2 2" xfId="8428" xr:uid="{7EDAEB5C-27C7-4420-BCC4-AA0761943634}"/>
    <cellStyle name="Comma 4 4 2 4 3" xfId="6283" xr:uid="{A82ACEB7-DF77-4426-80D4-2BBFF5EB7D29}"/>
    <cellStyle name="Comma 4 4 2 5" xfId="2394" xr:uid="{85947F6F-42FF-4C6B-90F3-132F5D54075E}"/>
    <cellStyle name="Comma 4 4 2 5 2" xfId="4623" xr:uid="{C387889D-CF2B-43CD-A1C2-420233B44D51}"/>
    <cellStyle name="Comma 4 4 2 5 2 2" xfId="8841" xr:uid="{D800AAE5-7301-4E1A-BFD1-E9D789E399C0}"/>
    <cellStyle name="Comma 4 4 2 5 3" xfId="6696" xr:uid="{BFF7D13D-1156-4765-BA7D-2C4D3BBA8198}"/>
    <cellStyle name="Comma 4 4 2 6" xfId="2807" xr:uid="{0881E96C-DFE9-415B-8123-CB5A975D3B47}"/>
    <cellStyle name="Comma 4 4 2 6 2" xfId="5036" xr:uid="{70F8B09D-EEA7-4998-9E7E-839A4F010764}"/>
    <cellStyle name="Comma 4 4 2 6 2 2" xfId="9254" xr:uid="{855835B3-5B8D-4384-BBE1-360BB4641224}"/>
    <cellStyle name="Comma 4 4 2 6 3" xfId="7109" xr:uid="{82126008-0D51-4412-B123-032D39D74BD7}"/>
    <cellStyle name="Comma 4 4 2 7" xfId="3242" xr:uid="{3CC8A1CF-A580-4C23-8AF3-5DCEF441B9ED}"/>
    <cellStyle name="Comma 4 4 2 7 2" xfId="7522" xr:uid="{D7C08D04-8153-45EB-882F-C1BAE4C9CA4A}"/>
    <cellStyle name="Comma 4 4 2 8" xfId="3538" xr:uid="{E270ED43-26FE-48CB-973B-49200A7D95C2}"/>
    <cellStyle name="Comma 4 4 2 9" xfId="3620" xr:uid="{A56C69CF-889A-43A6-BB9E-564B38085E8B}"/>
    <cellStyle name="Comma 4 4 2 9 2" xfId="7839" xr:uid="{12BABE2D-733E-4455-B02C-AF51142F6F56}"/>
    <cellStyle name="Comma 4 4 3" xfId="156" xr:uid="{00000000-0005-0000-0000-000015010000}"/>
    <cellStyle name="Comma 4 4 3 10" xfId="1154" xr:uid="{8F4CE8F0-16C8-40A5-A41A-31EB635AA8F2}"/>
    <cellStyle name="Comma 4 4 3 2" xfId="701" xr:uid="{00000000-0005-0000-0000-000016010000}"/>
    <cellStyle name="Comma 4 4 3 2 2" xfId="3799" xr:uid="{7F972DA6-D990-47D7-B9BF-22A824F7B2B1}"/>
    <cellStyle name="Comma 4 4 3 2 2 2" xfId="8017" xr:uid="{BA85AAA8-D969-4E08-AAF5-707F57AA0C5E}"/>
    <cellStyle name="Comma 4 4 3 2 3" xfId="5872" xr:uid="{517B6008-D858-481A-A830-109E2930C9E3}"/>
    <cellStyle name="Comma 4 4 3 2 4" xfId="1568" xr:uid="{C5A80989-97E9-4DA0-989F-AC38EE4BAC0B}"/>
    <cellStyle name="Comma 4 4 3 3" xfId="1983" xr:uid="{6A1A5426-3090-43E2-9A28-D4FC2EF8B708}"/>
    <cellStyle name="Comma 4 4 3 3 2" xfId="4212" xr:uid="{769A9A60-C397-442C-90B1-F9BE2C9BFC07}"/>
    <cellStyle name="Comma 4 4 3 3 2 2" xfId="8430" xr:uid="{227B0594-4DB3-44EA-99BB-D36076474231}"/>
    <cellStyle name="Comma 4 4 3 3 3" xfId="6285" xr:uid="{3FDF2E06-A23E-4C9F-A250-3A4A916FF3CD}"/>
    <cellStyle name="Comma 4 4 3 4" xfId="2396" xr:uid="{98CA9F25-1EA0-4C16-BC31-95583B669FD8}"/>
    <cellStyle name="Comma 4 4 3 4 2" xfId="4625" xr:uid="{E3B9E90B-785B-4401-B4CB-0F6E8DD59AF2}"/>
    <cellStyle name="Comma 4 4 3 4 2 2" xfId="8843" xr:uid="{90D3EC13-F621-418A-BD7D-27DC22AA980E}"/>
    <cellStyle name="Comma 4 4 3 4 3" xfId="6698" xr:uid="{30FF899C-3752-4668-B016-2BCB37C0EDB1}"/>
    <cellStyle name="Comma 4 4 3 5" xfId="2809" xr:uid="{CE9EC0C5-3D8D-473C-A9B1-D7EF8AD24471}"/>
    <cellStyle name="Comma 4 4 3 5 2" xfId="5038" xr:uid="{03C83698-557E-4FDA-A9EA-7E84B4966247}"/>
    <cellStyle name="Comma 4 4 3 5 2 2" xfId="9256" xr:uid="{2421DBCF-6D2A-473C-9912-5861D587F6DD}"/>
    <cellStyle name="Comma 4 4 3 5 3" xfId="7111" xr:uid="{50DE14F0-5D93-48A4-9DBB-C8A0BB62FD8A}"/>
    <cellStyle name="Comma 4 4 3 6" xfId="3244" xr:uid="{3E56AA66-E118-4934-92AC-8D0209CC6660}"/>
    <cellStyle name="Comma 4 4 3 6 2" xfId="7524" xr:uid="{CBFD3D49-8F62-4EB5-A159-D9F136455309}"/>
    <cellStyle name="Comma 4 4 3 7" xfId="3540" xr:uid="{3B090307-2269-49A4-B3E0-3548E7B5BDEA}"/>
    <cellStyle name="Comma 4 4 3 8" xfId="3622" xr:uid="{18695643-8E29-420E-95C6-C09C63957019}"/>
    <cellStyle name="Comma 4 4 3 8 2" xfId="7841" xr:uid="{37E6899B-950A-4E03-ADA1-10F92194AF8C}"/>
    <cellStyle name="Comma 4 4 3 9" xfId="5458" xr:uid="{51F5A2F7-BCB3-435B-9F5C-B58AA975B2F8}"/>
    <cellStyle name="Comma 4 4 4" xfId="698" xr:uid="{00000000-0005-0000-0000-000017010000}"/>
    <cellStyle name="Comma 4 4 4 2" xfId="3796" xr:uid="{74888924-3030-444D-BCCE-AF281E8023C9}"/>
    <cellStyle name="Comma 4 4 4 2 2" xfId="8014" xr:uid="{54F10162-86CF-4FC3-A84C-31BC500E087C}"/>
    <cellStyle name="Comma 4 4 4 3" xfId="5869" xr:uid="{61767D71-C6E1-4EEF-A833-F615934B60AE}"/>
    <cellStyle name="Comma 4 4 4 4" xfId="1565" xr:uid="{96F5B85A-7724-4578-BA77-83D9B717E750}"/>
    <cellStyle name="Comma 4 4 5" xfId="1980" xr:uid="{F1B42474-BB82-463B-9D96-A6FB318AA5F8}"/>
    <cellStyle name="Comma 4 4 5 2" xfId="4209" xr:uid="{198BC613-2CE7-4C20-870F-002969BAC13A}"/>
    <cellStyle name="Comma 4 4 5 2 2" xfId="8427" xr:uid="{AE30AF6B-7DC0-42C0-BE2F-687A3B8747CE}"/>
    <cellStyle name="Comma 4 4 5 3" xfId="6282" xr:uid="{12147199-6B38-44F2-BF99-37E97A5BFC39}"/>
    <cellStyle name="Comma 4 4 6" xfId="2393" xr:uid="{F805DB1D-11C9-4669-B627-E62887E0B352}"/>
    <cellStyle name="Comma 4 4 6 2" xfId="4622" xr:uid="{0A01BE74-0BFB-4D29-A983-991473D2B0C2}"/>
    <cellStyle name="Comma 4 4 6 2 2" xfId="8840" xr:uid="{6BB78616-EBA9-40EE-9456-F61C3CECDC26}"/>
    <cellStyle name="Comma 4 4 6 3" xfId="6695" xr:uid="{B86CDA8F-3FB6-47A2-88D6-9D179341581E}"/>
    <cellStyle name="Comma 4 4 7" xfId="2806" xr:uid="{E7BF013E-42D3-4E0E-BEA1-74EBDA1A8A97}"/>
    <cellStyle name="Comma 4 4 7 2" xfId="5035" xr:uid="{D4206893-A22C-4020-A3C0-5DD69D48A315}"/>
    <cellStyle name="Comma 4 4 7 2 2" xfId="9253" xr:uid="{C1D18225-BFE0-476C-BB4A-E4D1EB9E54F3}"/>
    <cellStyle name="Comma 4 4 7 3" xfId="7108" xr:uid="{D7459F04-3D21-4CDE-AF4D-8717869028BC}"/>
    <cellStyle name="Comma 4 4 8" xfId="3241" xr:uid="{302B0F69-FA2B-4332-89AB-D616258F1C08}"/>
    <cellStyle name="Comma 4 4 8 2" xfId="7521" xr:uid="{C5F71BAB-5B2D-47A1-AF42-659442D0A1FB}"/>
    <cellStyle name="Comma 4 4 9" xfId="3537" xr:uid="{581A82AA-24B7-400F-971A-2BE99CD04F87}"/>
    <cellStyle name="Comma 4 5" xfId="157" xr:uid="{00000000-0005-0000-0000-000018010000}"/>
    <cellStyle name="Comma 4 5 10" xfId="5459" xr:uid="{8CA187A3-F123-431A-903B-994F0C13C041}"/>
    <cellStyle name="Comma 4 5 11" xfId="1155" xr:uid="{8EBE0C02-CF9D-4880-8D74-E103CBF1E2C7}"/>
    <cellStyle name="Comma 4 5 2" xfId="158" xr:uid="{00000000-0005-0000-0000-000019010000}"/>
    <cellStyle name="Comma 4 5 2 10" xfId="1156" xr:uid="{9F1DAF77-31AF-4BA6-9F26-8FAEFA93161F}"/>
    <cellStyle name="Comma 4 5 2 2" xfId="703" xr:uid="{00000000-0005-0000-0000-00001A010000}"/>
    <cellStyle name="Comma 4 5 2 2 2" xfId="3801" xr:uid="{3CDF937D-C314-42E9-98EB-77755D5E9EE9}"/>
    <cellStyle name="Comma 4 5 2 2 2 2" xfId="8019" xr:uid="{D5016A31-4BF9-468F-9F84-82E3ED99DFAA}"/>
    <cellStyle name="Comma 4 5 2 2 3" xfId="5874" xr:uid="{A3E77759-78A8-419D-A0EB-290FA581B851}"/>
    <cellStyle name="Comma 4 5 2 2 4" xfId="1570" xr:uid="{CD89CDF7-DADB-4359-96E8-3AD8F795FC7D}"/>
    <cellStyle name="Comma 4 5 2 3" xfId="1985" xr:uid="{45C97DC1-DB90-44D3-B4E1-0A9DF0A047DA}"/>
    <cellStyle name="Comma 4 5 2 3 2" xfId="4214" xr:uid="{1EB9D618-D677-438A-B0B6-F9CE3E0927B5}"/>
    <cellStyle name="Comma 4 5 2 3 2 2" xfId="8432" xr:uid="{288DD2AB-E9A7-4650-B155-28054D1CE039}"/>
    <cellStyle name="Comma 4 5 2 3 3" xfId="6287" xr:uid="{C5E02CBC-38B1-4DD5-AA08-3F16524B0E23}"/>
    <cellStyle name="Comma 4 5 2 4" xfId="2398" xr:uid="{026E9563-8436-4BBE-BEB0-552A6C0ECC7B}"/>
    <cellStyle name="Comma 4 5 2 4 2" xfId="4627" xr:uid="{AE3CD15A-805A-4A81-BCD8-4AF1A528EC4D}"/>
    <cellStyle name="Comma 4 5 2 4 2 2" xfId="8845" xr:uid="{8AD1E971-2377-4CA6-A7D2-083960D95E7C}"/>
    <cellStyle name="Comma 4 5 2 4 3" xfId="6700" xr:uid="{7A4937E4-65A8-4C73-891A-3ED7E10A72CA}"/>
    <cellStyle name="Comma 4 5 2 5" xfId="2811" xr:uid="{FD640703-B96B-4F10-81BC-83CC1123B741}"/>
    <cellStyle name="Comma 4 5 2 5 2" xfId="5040" xr:uid="{5924FB94-33C3-4DC2-86F6-DE2E20E9DDE0}"/>
    <cellStyle name="Comma 4 5 2 5 2 2" xfId="9258" xr:uid="{4163F481-2A7A-4594-BC44-7B926145BE3B}"/>
    <cellStyle name="Comma 4 5 2 5 3" xfId="7113" xr:uid="{D27E3EFE-22A7-4F3B-9779-CC5E69176A11}"/>
    <cellStyle name="Comma 4 5 2 6" xfId="3246" xr:uid="{649A0A5C-9E56-4CDD-9145-5E130279835B}"/>
    <cellStyle name="Comma 4 5 2 6 2" xfId="7526" xr:uid="{5F3BB3DC-5734-4068-9645-97B8BCB72AA9}"/>
    <cellStyle name="Comma 4 5 2 7" xfId="3542" xr:uid="{077B9183-88AA-4DC0-B877-89607D2ECB37}"/>
    <cellStyle name="Comma 4 5 2 8" xfId="3624" xr:uid="{532A1B70-AC4F-4B40-A614-47331B5049CB}"/>
    <cellStyle name="Comma 4 5 2 8 2" xfId="7843" xr:uid="{C422A624-6735-4458-BC83-E3623D4DB623}"/>
    <cellStyle name="Comma 4 5 2 9" xfId="5460" xr:uid="{975DE27A-0349-432F-9F62-F388F2AA8449}"/>
    <cellStyle name="Comma 4 5 3" xfId="702" xr:uid="{00000000-0005-0000-0000-00001B010000}"/>
    <cellStyle name="Comma 4 5 3 2" xfId="3800" xr:uid="{DCAF09E4-3754-4AD9-98DD-7FAD84FAA0E7}"/>
    <cellStyle name="Comma 4 5 3 2 2" xfId="8018" xr:uid="{9090AF45-329C-4AAB-8149-8A39879BEC9F}"/>
    <cellStyle name="Comma 4 5 3 3" xfId="5873" xr:uid="{5D662E3A-F25E-4265-AF1B-4F3AF0987D54}"/>
    <cellStyle name="Comma 4 5 3 4" xfId="1569" xr:uid="{3F3A33E1-14AC-4C1D-8056-9E1A04A7D3DF}"/>
    <cellStyle name="Comma 4 5 4" xfId="1984" xr:uid="{AA348D3C-E679-4623-B3F7-67338032057D}"/>
    <cellStyle name="Comma 4 5 4 2" xfId="4213" xr:uid="{DB4AD4C7-B9D2-4DF4-A6E9-C88B96A32EBE}"/>
    <cellStyle name="Comma 4 5 4 2 2" xfId="8431" xr:uid="{74CA1F33-9F73-4DD5-B7D7-7BD8EE092D2B}"/>
    <cellStyle name="Comma 4 5 4 3" xfId="6286" xr:uid="{80B49160-6668-4029-94C6-3063437179DE}"/>
    <cellStyle name="Comma 4 5 5" xfId="2397" xr:uid="{1889B7EC-7600-43B1-A19E-56E367E409C0}"/>
    <cellStyle name="Comma 4 5 5 2" xfId="4626" xr:uid="{015C2BD6-7525-4697-9AE0-7E8BE72FD1A3}"/>
    <cellStyle name="Comma 4 5 5 2 2" xfId="8844" xr:uid="{E65F4E9F-86DB-4598-9E19-2E5CEDA2135A}"/>
    <cellStyle name="Comma 4 5 5 3" xfId="6699" xr:uid="{138A2CDA-AD5B-4D5B-BC18-EA58BEF164D8}"/>
    <cellStyle name="Comma 4 5 6" xfId="2810" xr:uid="{1B5A4A35-A634-4118-99A8-D4662D7D7025}"/>
    <cellStyle name="Comma 4 5 6 2" xfId="5039" xr:uid="{0D8AD888-EE5D-447D-BD2F-4003F117AD28}"/>
    <cellStyle name="Comma 4 5 6 2 2" xfId="9257" xr:uid="{F5CF259F-32A0-487D-8918-F8FE53938974}"/>
    <cellStyle name="Comma 4 5 6 3" xfId="7112" xr:uid="{273507E7-65E0-48CF-88F1-518AAE60C0DF}"/>
    <cellStyle name="Comma 4 5 7" xfId="3245" xr:uid="{72296D43-CC6F-48F5-8BC4-BDDED6D3A554}"/>
    <cellStyle name="Comma 4 5 7 2" xfId="7525" xr:uid="{C38AEA58-8BE6-4A86-98F4-475D824AE15B}"/>
    <cellStyle name="Comma 4 5 8" xfId="3541" xr:uid="{0BEF2A26-BE95-4D49-BFA4-A6DBEF5D84DF}"/>
    <cellStyle name="Comma 4 5 9" xfId="3623" xr:uid="{953E58F2-94D7-4398-A028-DA5402B452CF}"/>
    <cellStyle name="Comma 4 5 9 2" xfId="7842" xr:uid="{56601522-41D6-4AE3-AC99-49029985AD9A}"/>
    <cellStyle name="Comma 4 6" xfId="159" xr:uid="{00000000-0005-0000-0000-00001C010000}"/>
    <cellStyle name="Comma 4 6 10" xfId="1157" xr:uid="{8FE04C81-4918-4C38-8AF8-49794B1042EE}"/>
    <cellStyle name="Comma 4 6 2" xfId="704" xr:uid="{00000000-0005-0000-0000-00001D010000}"/>
    <cellStyle name="Comma 4 6 2 2" xfId="3802" xr:uid="{402E6EC3-5E78-4558-AB55-83DBB3C077E2}"/>
    <cellStyle name="Comma 4 6 2 2 2" xfId="8020" xr:uid="{DAE2F5B9-9987-45CF-A23B-042FC0D5633C}"/>
    <cellStyle name="Comma 4 6 2 3" xfId="5875" xr:uid="{C3E84792-4C3F-494B-9CCE-A278F13F8466}"/>
    <cellStyle name="Comma 4 6 2 4" xfId="1571" xr:uid="{C95DD41C-8791-4580-872D-C06ADD30A33B}"/>
    <cellStyle name="Comma 4 6 3" xfId="1986" xr:uid="{06FF984A-5370-4F1E-9C4D-279B3BECAB24}"/>
    <cellStyle name="Comma 4 6 3 2" xfId="4215" xr:uid="{4F40CC3F-F9D4-42AF-AC1B-9CB6C3E9757A}"/>
    <cellStyle name="Comma 4 6 3 2 2" xfId="8433" xr:uid="{633ADCA2-8418-4D54-999B-61A5238DCCFD}"/>
    <cellStyle name="Comma 4 6 3 3" xfId="6288" xr:uid="{F2BACA1C-E549-48A1-9F4A-97EFB6CCE39B}"/>
    <cellStyle name="Comma 4 6 4" xfId="2399" xr:uid="{D00F2858-6CF6-47C6-BF32-F198B21AE842}"/>
    <cellStyle name="Comma 4 6 4 2" xfId="4628" xr:uid="{465B3740-0139-4A09-8989-B4E3CF38A8EE}"/>
    <cellStyle name="Comma 4 6 4 2 2" xfId="8846" xr:uid="{C1DA2529-2270-43FD-8DEF-0D44F99B865D}"/>
    <cellStyle name="Comma 4 6 4 3" xfId="6701" xr:uid="{AE84B74A-638F-4301-A35A-0D6A225B551C}"/>
    <cellStyle name="Comma 4 6 5" xfId="2812" xr:uid="{21F16CA5-F2B7-45EF-8582-9B37ECDDD2BD}"/>
    <cellStyle name="Comma 4 6 5 2" xfId="5041" xr:uid="{F7A92965-D423-4291-AAC1-49FD0B4AB5B3}"/>
    <cellStyle name="Comma 4 6 5 2 2" xfId="9259" xr:uid="{C13A419E-D917-4DA1-B10A-1CCC07464287}"/>
    <cellStyle name="Comma 4 6 5 3" xfId="7114" xr:uid="{26986C69-407D-4598-BB25-EBBAE2D6C9E4}"/>
    <cellStyle name="Comma 4 6 6" xfId="3247" xr:uid="{1B07995C-E76D-4AAD-8AE3-422560A112F1}"/>
    <cellStyle name="Comma 4 6 6 2" xfId="7527" xr:uid="{C05A799E-A672-49BE-ABE9-5A48F03CB7FE}"/>
    <cellStyle name="Comma 4 6 7" xfId="3543" xr:uid="{FA01F0A6-46B6-4058-A053-FE5200FA0CC7}"/>
    <cellStyle name="Comma 4 6 8" xfId="3625" xr:uid="{F06C5FF2-B6EA-4508-B4A2-A6B73A772A55}"/>
    <cellStyle name="Comma 4 6 8 2" xfId="7844" xr:uid="{6FFBFEFC-248F-4A97-A5D5-83625D5A24DD}"/>
    <cellStyle name="Comma 4 6 9" xfId="5461" xr:uid="{D6939495-5507-4A30-9537-29ACA4E5D10F}"/>
    <cellStyle name="Comma 4 7" xfId="160" xr:uid="{00000000-0005-0000-0000-00001E010000}"/>
    <cellStyle name="Comma 4 7 10" xfId="1158" xr:uid="{9DE82A63-629C-40A5-A676-CF70ED6189D4}"/>
    <cellStyle name="Comma 4 7 2" xfId="705" xr:uid="{00000000-0005-0000-0000-00001F010000}"/>
    <cellStyle name="Comma 4 7 2 2" xfId="3803" xr:uid="{59A0FA88-FCBD-4F89-A954-44DADFB079CD}"/>
    <cellStyle name="Comma 4 7 2 2 2" xfId="8021" xr:uid="{608EC482-26CC-4A3D-B28F-2D4A69FD44EA}"/>
    <cellStyle name="Comma 4 7 2 3" xfId="5876" xr:uid="{7A84AD94-F68B-470D-9E4C-72B4F6A8D0F4}"/>
    <cellStyle name="Comma 4 7 2 4" xfId="1572" xr:uid="{12E4DFE6-D667-416D-9254-C015226EC0B6}"/>
    <cellStyle name="Comma 4 7 3" xfId="1987" xr:uid="{2E90C8EF-FB5C-4E78-9E27-593E80B3A97C}"/>
    <cellStyle name="Comma 4 7 3 2" xfId="4216" xr:uid="{1607964C-0B42-48F2-9ED2-7BF5BC6D6376}"/>
    <cellStyle name="Comma 4 7 3 2 2" xfId="8434" xr:uid="{9E407725-600A-4E03-9CAE-BEA720AAC432}"/>
    <cellStyle name="Comma 4 7 3 3" xfId="6289" xr:uid="{99F7B14A-AD35-4D02-8136-FEEE382B3485}"/>
    <cellStyle name="Comma 4 7 4" xfId="2400" xr:uid="{5A16CABC-CE56-446F-92F6-029BEDE613CA}"/>
    <cellStyle name="Comma 4 7 4 2" xfId="4629" xr:uid="{34343E64-C308-4DBB-BAF7-B18CF28DC31F}"/>
    <cellStyle name="Comma 4 7 4 2 2" xfId="8847" xr:uid="{3479EC6B-6DC1-47DA-93A2-9DB3A66F4E43}"/>
    <cellStyle name="Comma 4 7 4 3" xfId="6702" xr:uid="{F264006B-8A8B-453B-BE06-B941A0246543}"/>
    <cellStyle name="Comma 4 7 5" xfId="2813" xr:uid="{0FBCB186-D683-4E5D-B50D-AF92E8BC4355}"/>
    <cellStyle name="Comma 4 7 5 2" xfId="5042" xr:uid="{FC0992BB-F4A9-4F39-92E2-3727476119B1}"/>
    <cellStyle name="Comma 4 7 5 2 2" xfId="9260" xr:uid="{A597CF73-3350-4C35-8129-B415F8465D86}"/>
    <cellStyle name="Comma 4 7 5 3" xfId="7115" xr:uid="{B105B206-CFB7-46ED-9763-04097456CCE9}"/>
    <cellStyle name="Comma 4 7 6" xfId="3248" xr:uid="{6AC56E57-3DDE-457E-9541-96A64551B4B7}"/>
    <cellStyle name="Comma 4 7 6 2" xfId="7528" xr:uid="{4D9BD7FB-17FC-41D7-8393-35D56AA3FA12}"/>
    <cellStyle name="Comma 4 7 7" xfId="3544" xr:uid="{3C01E97F-12DA-4C72-87A3-1B401F061CE8}"/>
    <cellStyle name="Comma 4 7 8" xfId="3626" xr:uid="{66B80F0D-CD2C-4615-9DBA-91E998BA2651}"/>
    <cellStyle name="Comma 4 7 8 2" xfId="7845" xr:uid="{C5AFD828-ED06-4789-8292-9BBD650B3BA2}"/>
    <cellStyle name="Comma 4 7 9" xfId="5462" xr:uid="{C3FFFB8E-7063-405A-803B-B6540724DF4E}"/>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5330" xr:uid="{52A2BE58-A103-4573-B511-F14E1BF9A8EB}"/>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12 3" xfId="1573" xr:uid="{C387FE54-FB92-4EBA-BFC9-044155006317}"/>
    <cellStyle name="Currency 13" xfId="3545" xr:uid="{E1CBC648-8550-455C-B3C1-FEBA7DB4D886}"/>
    <cellStyle name="Currency 13 2" xfId="5328" xr:uid="{4DE92CFE-0414-44D9-B711-84A24788DE08}"/>
    <cellStyle name="Currency 13 3" xfId="3281" xr:uid="{7C6EBBEF-6ABD-401E-8A74-A3D128E656BC}"/>
    <cellStyle name="Currency 14" xfId="5333" xr:uid="{E8210A53-464A-4A56-8484-19E5418FF862}"/>
    <cellStyle name="Currency 14 2" xfId="9547" xr:uid="{A90A219D-DD2D-4F3B-9342-450CC1E83006}"/>
    <cellStyle name="Currency 14 3" xfId="9550" xr:uid="{9024D21A-41DE-400B-9603-578464FAF8C8}"/>
    <cellStyle name="Currency 14 3 2" xfId="9553" xr:uid="{B13D4930-42E4-4858-A927-D39CFAD54747}"/>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10" xfId="3627" xr:uid="{82235247-A598-4331-A5E9-F7D7DC52070F}"/>
    <cellStyle name="Currency 3 2 2 10 2" xfId="7846" xr:uid="{54A2A1C6-58ED-4A6E-B9B8-F86D938828E2}"/>
    <cellStyle name="Currency 3 2 2 11" xfId="5463" xr:uid="{FD754180-8A61-42A3-B235-653AD56209DD}"/>
    <cellStyle name="Currency 3 2 2 12" xfId="1159" xr:uid="{EAAB3040-C2B6-440F-A70A-22D629706CB2}"/>
    <cellStyle name="Currency 3 2 2 2" xfId="180" xr:uid="{00000000-0005-0000-0000-00003D010000}"/>
    <cellStyle name="Currency 3 2 2 2 10" xfId="5464" xr:uid="{3BE796B8-2077-4AC3-8BF4-0DFA04A7A2D5}"/>
    <cellStyle name="Currency 3 2 2 2 11" xfId="1160" xr:uid="{E17DFCA0-E0AB-4617-AA50-6227B4B9A9E3}"/>
    <cellStyle name="Currency 3 2 2 2 2" xfId="181" xr:uid="{00000000-0005-0000-0000-00003E010000}"/>
    <cellStyle name="Currency 3 2 2 2 2 10" xfId="1161" xr:uid="{77688A11-39B4-49EB-9EAF-408775C2E964}"/>
    <cellStyle name="Currency 3 2 2 2 2 2" xfId="717" xr:uid="{00000000-0005-0000-0000-00003F010000}"/>
    <cellStyle name="Currency 3 2 2 2 2 2 2" xfId="3806" xr:uid="{4599B9AF-EDD3-466B-AD23-265635C1D850}"/>
    <cellStyle name="Currency 3 2 2 2 2 2 2 2" xfId="8024" xr:uid="{DD6B03A9-F216-4C9C-BA06-BAFD51CFA8C0}"/>
    <cellStyle name="Currency 3 2 2 2 2 2 3" xfId="5879" xr:uid="{10DF8C7E-9A99-4BF7-B775-22FE918D03E8}"/>
    <cellStyle name="Currency 3 2 2 2 2 2 4" xfId="1576" xr:uid="{B4095ED1-E0E9-45F5-AF59-E661A5C3294F}"/>
    <cellStyle name="Currency 3 2 2 2 2 3" xfId="1990" xr:uid="{A6192698-A991-462C-A5DF-7EC9A2F92D6E}"/>
    <cellStyle name="Currency 3 2 2 2 2 3 2" xfId="4219" xr:uid="{C9F07AA2-A5ED-43CD-B77C-77C420C77A84}"/>
    <cellStyle name="Currency 3 2 2 2 2 3 2 2" xfId="8437" xr:uid="{DA1A5DC2-72E0-4972-A10E-9D2F65A28725}"/>
    <cellStyle name="Currency 3 2 2 2 2 3 3" xfId="6292" xr:uid="{D41514ED-FF19-4744-9B0F-0AEFD9AB78E2}"/>
    <cellStyle name="Currency 3 2 2 2 2 4" xfId="2403" xr:uid="{66DACACE-793E-430F-84A9-20D9712BC025}"/>
    <cellStyle name="Currency 3 2 2 2 2 4 2" xfId="4632" xr:uid="{DCF385B3-4E29-4CC4-A445-B125D6D7500E}"/>
    <cellStyle name="Currency 3 2 2 2 2 4 2 2" xfId="8850" xr:uid="{AE361E68-82D7-43AC-8D95-9D4EC5B825F7}"/>
    <cellStyle name="Currency 3 2 2 2 2 4 3" xfId="6705" xr:uid="{D850BA60-FBA3-46A2-8205-45EEEBDC2841}"/>
    <cellStyle name="Currency 3 2 2 2 2 5" xfId="2816" xr:uid="{3C5372DF-B842-4E2A-86C9-25C64FD0CBB0}"/>
    <cellStyle name="Currency 3 2 2 2 2 5 2" xfId="5045" xr:uid="{345BBE77-CBD9-485E-B72F-4FB37B7EC590}"/>
    <cellStyle name="Currency 3 2 2 2 2 5 2 2" xfId="9263" xr:uid="{0485B3AD-DB0B-4A18-BBFD-25BAD5AF9D25}"/>
    <cellStyle name="Currency 3 2 2 2 2 5 3" xfId="7118" xr:uid="{0884C2C5-0132-4035-8495-49713C1B42AC}"/>
    <cellStyle name="Currency 3 2 2 2 2 6" xfId="3251" xr:uid="{EEA082E8-8DF3-4F70-84A2-7770FEAE6E1F}"/>
    <cellStyle name="Currency 3 2 2 2 2 6 2" xfId="7531" xr:uid="{EEEC0943-72DB-478F-B08A-BF69217F0919}"/>
    <cellStyle name="Currency 3 2 2 2 2 7" xfId="3548" xr:uid="{E7D075C1-7D5F-4BA2-BC9F-4191734EFECE}"/>
    <cellStyle name="Currency 3 2 2 2 2 8" xfId="3629" xr:uid="{54ED44BC-B165-4014-952C-9EA8FF34729E}"/>
    <cellStyle name="Currency 3 2 2 2 2 8 2" xfId="7848" xr:uid="{D1C726FB-3804-471F-AFC1-130DDCDF98F1}"/>
    <cellStyle name="Currency 3 2 2 2 2 9" xfId="5465" xr:uid="{FBA9C1A5-0304-47A7-ABAE-4552612CDA68}"/>
    <cellStyle name="Currency 3 2 2 2 3" xfId="716" xr:uid="{00000000-0005-0000-0000-000040010000}"/>
    <cellStyle name="Currency 3 2 2 2 3 2" xfId="3805" xr:uid="{84D48776-9BFE-4751-B933-3B6B10473093}"/>
    <cellStyle name="Currency 3 2 2 2 3 2 2" xfId="8023" xr:uid="{EF5167CC-D51A-4379-92F3-E6DBF0B0040A}"/>
    <cellStyle name="Currency 3 2 2 2 3 3" xfId="5878" xr:uid="{F1B2DA55-C1A5-4702-B786-77747A251057}"/>
    <cellStyle name="Currency 3 2 2 2 3 4" xfId="1575" xr:uid="{00380914-F7B7-4058-B55C-56E0B0DF4583}"/>
    <cellStyle name="Currency 3 2 2 2 4" xfId="1989" xr:uid="{B3C88549-F795-4D4B-8702-8BFFABA8E765}"/>
    <cellStyle name="Currency 3 2 2 2 4 2" xfId="4218" xr:uid="{C3F39148-3EC5-4F9A-8D43-77959585BD40}"/>
    <cellStyle name="Currency 3 2 2 2 4 2 2" xfId="8436" xr:uid="{CB2F0790-39EE-4381-B6C9-9FEE25AF0121}"/>
    <cellStyle name="Currency 3 2 2 2 4 3" xfId="6291" xr:uid="{28B96B18-89F9-4812-9DA5-47BBEF0D78A7}"/>
    <cellStyle name="Currency 3 2 2 2 5" xfId="2402" xr:uid="{E3492EBB-524D-4A05-AC7E-50B199B04D29}"/>
    <cellStyle name="Currency 3 2 2 2 5 2" xfId="4631" xr:uid="{A74F768F-F53D-460C-9175-5BD43AFD9CC6}"/>
    <cellStyle name="Currency 3 2 2 2 5 2 2" xfId="8849" xr:uid="{B67DC902-FBBB-49F2-B8D6-03313884E9A1}"/>
    <cellStyle name="Currency 3 2 2 2 5 3" xfId="6704" xr:uid="{38F7F1FF-36E5-4F37-8BA8-C55A0D6ACC8A}"/>
    <cellStyle name="Currency 3 2 2 2 6" xfId="2815" xr:uid="{AF29A803-CC5B-444B-8B9C-5867BEAFFEEA}"/>
    <cellStyle name="Currency 3 2 2 2 6 2" xfId="5044" xr:uid="{97E9C444-E854-4DE3-866B-5FCE0499FC17}"/>
    <cellStyle name="Currency 3 2 2 2 6 2 2" xfId="9262" xr:uid="{45CAACB5-FBEC-41E4-8BFF-88F15C465A7B}"/>
    <cellStyle name="Currency 3 2 2 2 6 3" xfId="7117" xr:uid="{438B9284-FDCF-41DA-A3F6-4420F280CA2B}"/>
    <cellStyle name="Currency 3 2 2 2 7" xfId="3250" xr:uid="{107508D4-EE5C-49E4-AAC8-E4DE48BC7260}"/>
    <cellStyle name="Currency 3 2 2 2 7 2" xfId="7530" xr:uid="{7CFFB050-DB99-4766-B9C4-A0B266BD44F3}"/>
    <cellStyle name="Currency 3 2 2 2 8" xfId="3547" xr:uid="{9182BC5D-9C99-4416-BDEA-1128502681ED}"/>
    <cellStyle name="Currency 3 2 2 2 9" xfId="3628" xr:uid="{BCA17273-EA2E-4FF8-9031-354FC741F4E9}"/>
    <cellStyle name="Currency 3 2 2 2 9 2" xfId="7847" xr:uid="{561C8405-4C3A-4F3B-948A-F8F1C1611EBC}"/>
    <cellStyle name="Currency 3 2 2 3" xfId="182" xr:uid="{00000000-0005-0000-0000-000041010000}"/>
    <cellStyle name="Currency 3 2 2 3 10" xfId="1162" xr:uid="{7E5D5405-5FF5-42E5-8D61-F2FAFA67403B}"/>
    <cellStyle name="Currency 3 2 2 3 2" xfId="718" xr:uid="{00000000-0005-0000-0000-000042010000}"/>
    <cellStyle name="Currency 3 2 2 3 2 2" xfId="3807" xr:uid="{C4A25EDB-2FAE-41C5-8A84-D6FF00BFFEC3}"/>
    <cellStyle name="Currency 3 2 2 3 2 2 2" xfId="8025" xr:uid="{302253AE-FCD6-46FF-843A-909DFD56B2CB}"/>
    <cellStyle name="Currency 3 2 2 3 2 3" xfId="5880" xr:uid="{2AAFA47D-FB9A-4ACD-B1E7-A48DCA3DBD52}"/>
    <cellStyle name="Currency 3 2 2 3 2 4" xfId="1577" xr:uid="{F1B0E4BA-C197-4D89-AAB5-86D0E18E8CDA}"/>
    <cellStyle name="Currency 3 2 2 3 3" xfId="1991" xr:uid="{A725379B-27AD-4D77-8CC3-871769D06114}"/>
    <cellStyle name="Currency 3 2 2 3 3 2" xfId="4220" xr:uid="{8A62B5A3-09FF-465D-B510-F59FF90E690A}"/>
    <cellStyle name="Currency 3 2 2 3 3 2 2" xfId="8438" xr:uid="{EAEE0B3E-A91B-4B17-A58C-D6655235B718}"/>
    <cellStyle name="Currency 3 2 2 3 3 3" xfId="6293" xr:uid="{1D0B99D2-3C91-4AF0-8FC3-F2E9CDDD4352}"/>
    <cellStyle name="Currency 3 2 2 3 4" xfId="2404" xr:uid="{B0C73502-6EC2-4647-AD70-353CA6589D96}"/>
    <cellStyle name="Currency 3 2 2 3 4 2" xfId="4633" xr:uid="{FC2A3F80-FDDC-408D-B65E-305B97B7E0A5}"/>
    <cellStyle name="Currency 3 2 2 3 4 2 2" xfId="8851" xr:uid="{B5AA4C2E-4326-4435-8ECB-C9B8F60B8B49}"/>
    <cellStyle name="Currency 3 2 2 3 4 3" xfId="6706" xr:uid="{A349E5F8-E2C2-4708-9B01-62F016AB0622}"/>
    <cellStyle name="Currency 3 2 2 3 5" xfId="2817" xr:uid="{61BCCE34-695A-4074-88CF-6A44BC9508CB}"/>
    <cellStyle name="Currency 3 2 2 3 5 2" xfId="5046" xr:uid="{AA3B044D-8676-488C-B4C5-4D35B8F2766C}"/>
    <cellStyle name="Currency 3 2 2 3 5 2 2" xfId="9264" xr:uid="{C7A1E8F9-0EF2-42CD-A6CC-308F15CC3333}"/>
    <cellStyle name="Currency 3 2 2 3 5 3" xfId="7119" xr:uid="{53CDE99C-F3F4-44A7-BE33-2B3EA1ECDF42}"/>
    <cellStyle name="Currency 3 2 2 3 6" xfId="3252" xr:uid="{24F4B243-931F-4F7C-8C73-399F786AC2A2}"/>
    <cellStyle name="Currency 3 2 2 3 6 2" xfId="7532" xr:uid="{A9964E47-D73E-4156-A263-0BC509B93CFA}"/>
    <cellStyle name="Currency 3 2 2 3 7" xfId="3549" xr:uid="{4C2DA4A3-8B80-4945-8F79-55C41C09E912}"/>
    <cellStyle name="Currency 3 2 2 3 8" xfId="3630" xr:uid="{EE8C2526-31AD-406A-BC82-7E077ED9D0AE}"/>
    <cellStyle name="Currency 3 2 2 3 8 2" xfId="7849" xr:uid="{5AC0184D-43F2-44F6-B625-A9FCADB61AC4}"/>
    <cellStyle name="Currency 3 2 2 3 9" xfId="5466" xr:uid="{C551E2BD-9807-4727-B19E-7841B521DD9E}"/>
    <cellStyle name="Currency 3 2 2 4" xfId="715" xr:uid="{00000000-0005-0000-0000-000043010000}"/>
    <cellStyle name="Currency 3 2 2 4 2" xfId="3804" xr:uid="{7FDD5D5A-34E6-46C1-9C51-E81DA79D95E8}"/>
    <cellStyle name="Currency 3 2 2 4 2 2" xfId="8022" xr:uid="{D11E6C91-C60C-4C61-922B-63019830DB73}"/>
    <cellStyle name="Currency 3 2 2 4 3" xfId="5877" xr:uid="{16C506A9-DB1F-4166-A7A2-89E2E6CA9BB9}"/>
    <cellStyle name="Currency 3 2 2 4 4" xfId="1574" xr:uid="{79B7D319-437B-4E4D-A2C5-6E22A6892E72}"/>
    <cellStyle name="Currency 3 2 2 5" xfId="1988" xr:uid="{ED0C95A3-A0F8-4077-8FBA-78ECB9591316}"/>
    <cellStyle name="Currency 3 2 2 5 2" xfId="4217" xr:uid="{8E5AF89A-162E-4135-996D-3F8E1F4D6595}"/>
    <cellStyle name="Currency 3 2 2 5 2 2" xfId="8435" xr:uid="{A4EECBDA-1E63-45FD-B207-35C17A00FBEF}"/>
    <cellStyle name="Currency 3 2 2 5 3" xfId="6290" xr:uid="{53BF4A2B-DF5C-4099-9D7C-FD7C955C3A6E}"/>
    <cellStyle name="Currency 3 2 2 6" xfId="2401" xr:uid="{4394449B-38E2-4123-9F6D-CBCDCC79E663}"/>
    <cellStyle name="Currency 3 2 2 6 2" xfId="4630" xr:uid="{DBF42078-2B7C-4948-8559-E7BC60264F8B}"/>
    <cellStyle name="Currency 3 2 2 6 2 2" xfId="8848" xr:uid="{189BEBD0-BFB1-483B-AC14-B4BF14AC85A7}"/>
    <cellStyle name="Currency 3 2 2 6 3" xfId="6703" xr:uid="{A6DE538F-DE0F-4FBE-BE03-12171D75C6EC}"/>
    <cellStyle name="Currency 3 2 2 7" xfId="2814" xr:uid="{0CDCE850-FA3A-422A-89DF-A12789F86BE2}"/>
    <cellStyle name="Currency 3 2 2 7 2" xfId="5043" xr:uid="{13B16FB8-075E-489D-9AAD-3130BE62F964}"/>
    <cellStyle name="Currency 3 2 2 7 2 2" xfId="9261" xr:uid="{AF8C939A-9EE8-4720-9E3E-2536603E4728}"/>
    <cellStyle name="Currency 3 2 2 7 3" xfId="7116" xr:uid="{AED11E98-B40C-494B-963C-A27425B8AFAF}"/>
    <cellStyle name="Currency 3 2 2 8" xfId="3249" xr:uid="{8244B8FB-66A9-44CD-B9AF-8CCAA29780F0}"/>
    <cellStyle name="Currency 3 2 2 8 2" xfId="7529" xr:uid="{B7ABFD19-E40F-43AA-B600-7E06FFA4B844}"/>
    <cellStyle name="Currency 3 2 2 9" xfId="3546" xr:uid="{DC29A30F-DC87-4061-99F8-D1A56DBAE1ED}"/>
    <cellStyle name="Currency 3 2 3" xfId="183" xr:uid="{00000000-0005-0000-0000-000044010000}"/>
    <cellStyle name="Currency 3 2 3 10" xfId="5467" xr:uid="{CDFB552B-8FC8-49E6-92D2-8FD765F63644}"/>
    <cellStyle name="Currency 3 2 3 11" xfId="1163" xr:uid="{44E6C2D6-9308-4255-A450-3D3AE9F2CDC7}"/>
    <cellStyle name="Currency 3 2 3 2" xfId="184" xr:uid="{00000000-0005-0000-0000-000045010000}"/>
    <cellStyle name="Currency 3 2 3 2 10" xfId="1164" xr:uid="{6A5AD25D-BF4D-48E6-88AE-B2594FCE3F22}"/>
    <cellStyle name="Currency 3 2 3 2 2" xfId="720" xr:uid="{00000000-0005-0000-0000-000046010000}"/>
    <cellStyle name="Currency 3 2 3 2 2 2" xfId="3809" xr:uid="{90171C59-E533-4A7A-9E4A-EAC3519DF892}"/>
    <cellStyle name="Currency 3 2 3 2 2 2 2" xfId="8027" xr:uid="{E22B4683-DDF3-4310-B7B0-C86DA91B8D7F}"/>
    <cellStyle name="Currency 3 2 3 2 2 3" xfId="5882" xr:uid="{92D7B18F-C904-4E0F-900A-D3AC27F581D8}"/>
    <cellStyle name="Currency 3 2 3 2 2 4" xfId="1579" xr:uid="{BC2D99A1-B107-416B-95B6-79EA39274E43}"/>
    <cellStyle name="Currency 3 2 3 2 3" xfId="1993" xr:uid="{8D15A871-2B71-4A14-B0C5-0918B5A9B60D}"/>
    <cellStyle name="Currency 3 2 3 2 3 2" xfId="4222" xr:uid="{E57BC153-49BD-4572-827C-B22ACAD88FEC}"/>
    <cellStyle name="Currency 3 2 3 2 3 2 2" xfId="8440" xr:uid="{31D98060-6D5E-46AE-8366-8FC217802E90}"/>
    <cellStyle name="Currency 3 2 3 2 3 3" xfId="6295" xr:uid="{40D75BA6-47D8-4A9F-B9C6-7A37C48D3F7A}"/>
    <cellStyle name="Currency 3 2 3 2 4" xfId="2406" xr:uid="{E07A7CBF-F0F6-4FF5-A8BB-6126C1625AA1}"/>
    <cellStyle name="Currency 3 2 3 2 4 2" xfId="4635" xr:uid="{3C22D3FC-EA06-4956-B949-F940FF8B0E4B}"/>
    <cellStyle name="Currency 3 2 3 2 4 2 2" xfId="8853" xr:uid="{1002F1D8-5E46-498B-90AB-E7F0E4BB47BC}"/>
    <cellStyle name="Currency 3 2 3 2 4 3" xfId="6708" xr:uid="{16AA368D-31B9-45DA-B0D6-216ADDC973E1}"/>
    <cellStyle name="Currency 3 2 3 2 5" xfId="2819" xr:uid="{587EFB61-B7FC-409C-BC13-B7426734E9D1}"/>
    <cellStyle name="Currency 3 2 3 2 5 2" xfId="5048" xr:uid="{2981205D-2069-4DD3-8B6A-9034A948EDD0}"/>
    <cellStyle name="Currency 3 2 3 2 5 2 2" xfId="9266" xr:uid="{B2FB52B9-9E10-47D2-9908-85BF6DDFE319}"/>
    <cellStyle name="Currency 3 2 3 2 5 3" xfId="7121" xr:uid="{A8D56264-B34C-48D3-9940-91918D2C653D}"/>
    <cellStyle name="Currency 3 2 3 2 6" xfId="3254" xr:uid="{DFDC08F3-DFD2-447D-AACA-39058AB979BE}"/>
    <cellStyle name="Currency 3 2 3 2 6 2" xfId="7534" xr:uid="{336F3512-B4C1-4831-B9D0-E6DBF57B87AD}"/>
    <cellStyle name="Currency 3 2 3 2 7" xfId="3551" xr:uid="{63EF9691-21BD-475C-8375-A14A55A3BBAA}"/>
    <cellStyle name="Currency 3 2 3 2 8" xfId="3632" xr:uid="{064B1FEA-B68B-475E-B385-1B4EACA82BF4}"/>
    <cellStyle name="Currency 3 2 3 2 8 2" xfId="7851" xr:uid="{36B6FD37-03DF-49F9-89E0-859A1C000DB1}"/>
    <cellStyle name="Currency 3 2 3 2 9" xfId="5468" xr:uid="{CD0BEC72-C3EF-46F9-B6B2-C72ABE62EA30}"/>
    <cellStyle name="Currency 3 2 3 3" xfId="719" xr:uid="{00000000-0005-0000-0000-000047010000}"/>
    <cellStyle name="Currency 3 2 3 3 2" xfId="3808" xr:uid="{EF2A74F7-CB5B-4EBF-B507-5F3BDC671C93}"/>
    <cellStyle name="Currency 3 2 3 3 2 2" xfId="8026" xr:uid="{4A001A8B-19D2-45ED-AFEB-1DBB6ED91153}"/>
    <cellStyle name="Currency 3 2 3 3 3" xfId="5881" xr:uid="{19D42976-910F-435E-A021-F34C5C2570F0}"/>
    <cellStyle name="Currency 3 2 3 3 4" xfId="1578" xr:uid="{9C3523FE-98F0-4D42-AB63-BB44A1C6ECDC}"/>
    <cellStyle name="Currency 3 2 3 4" xfId="1992" xr:uid="{618A500A-6E2C-442D-A571-37DDC0461D86}"/>
    <cellStyle name="Currency 3 2 3 4 2" xfId="4221" xr:uid="{552E68FE-687B-4AEF-8357-56A55A211671}"/>
    <cellStyle name="Currency 3 2 3 4 2 2" xfId="8439" xr:uid="{7474B581-5F63-4592-B171-F3E8679B609B}"/>
    <cellStyle name="Currency 3 2 3 4 3" xfId="6294" xr:uid="{4599850B-A5AF-40A0-9E1E-1AEB90D26259}"/>
    <cellStyle name="Currency 3 2 3 5" xfId="2405" xr:uid="{B9F7D626-2734-48BB-8FF7-D4E5C736F3A0}"/>
    <cellStyle name="Currency 3 2 3 5 2" xfId="4634" xr:uid="{5C1CC31A-3140-4B1E-AF02-591EEAA7544B}"/>
    <cellStyle name="Currency 3 2 3 5 2 2" xfId="8852" xr:uid="{0C3E3E10-4453-49C4-9F8B-DDE1F472D8B4}"/>
    <cellStyle name="Currency 3 2 3 5 3" xfId="6707" xr:uid="{BE2FFA68-FFAF-4D90-AEBA-000B6A0A3455}"/>
    <cellStyle name="Currency 3 2 3 6" xfId="2818" xr:uid="{2A1D1C14-22B7-49BC-BD8A-2422A5BAA885}"/>
    <cellStyle name="Currency 3 2 3 6 2" xfId="5047" xr:uid="{B05C1FB5-A178-4D4E-837E-2D1B5AC1F8AF}"/>
    <cellStyle name="Currency 3 2 3 6 2 2" xfId="9265" xr:uid="{5AD398C1-10D2-46C7-8752-92D5AFF3C228}"/>
    <cellStyle name="Currency 3 2 3 6 3" xfId="7120" xr:uid="{33BB616F-BDDB-4BF1-8DDC-BA4658435EB1}"/>
    <cellStyle name="Currency 3 2 3 7" xfId="3253" xr:uid="{925BEEF7-82C3-4F38-BFED-8F8F79A473AC}"/>
    <cellStyle name="Currency 3 2 3 7 2" xfId="7533" xr:uid="{6D061F02-6A4C-4D73-84DB-8F47FC5469BD}"/>
    <cellStyle name="Currency 3 2 3 8" xfId="3550" xr:uid="{D50C138E-CFB2-4133-A190-05E4E50C194A}"/>
    <cellStyle name="Currency 3 2 3 9" xfId="3631" xr:uid="{DA071A4E-D5A9-46A6-9FB8-2D4572BDAE98}"/>
    <cellStyle name="Currency 3 2 3 9 2" xfId="7850" xr:uid="{8141A3D0-8C70-4894-B671-35696C5F2A00}"/>
    <cellStyle name="Currency 3 2 4" xfId="185" xr:uid="{00000000-0005-0000-0000-000048010000}"/>
    <cellStyle name="Currency 3 2 4 10" xfId="1165" xr:uid="{E6F41B92-002B-4156-B5BA-6FED08B78961}"/>
    <cellStyle name="Currency 3 2 4 2" xfId="721" xr:uid="{00000000-0005-0000-0000-000049010000}"/>
    <cellStyle name="Currency 3 2 4 2 2" xfId="3810" xr:uid="{B84AE6E6-8636-463D-A899-8EC2D8A1478B}"/>
    <cellStyle name="Currency 3 2 4 2 2 2" xfId="8028" xr:uid="{23EEEDF3-41B7-46C7-A43C-A0C02B55511E}"/>
    <cellStyle name="Currency 3 2 4 2 3" xfId="5883" xr:uid="{BC3D0886-2149-4217-8703-D12E538714FA}"/>
    <cellStyle name="Currency 3 2 4 2 4" xfId="1580" xr:uid="{284B1A33-02E8-46A2-8419-C4C83179B117}"/>
    <cellStyle name="Currency 3 2 4 3" xfId="1994" xr:uid="{28BA6742-9889-484C-B04E-72D0D778A1E5}"/>
    <cellStyle name="Currency 3 2 4 3 2" xfId="4223" xr:uid="{3982F574-193A-4BFC-821C-092B51E4E4D8}"/>
    <cellStyle name="Currency 3 2 4 3 2 2" xfId="8441" xr:uid="{D5BDCB0D-3137-486E-AD34-DF6F8BAA1DE0}"/>
    <cellStyle name="Currency 3 2 4 3 3" xfId="6296" xr:uid="{796AD9D5-F55C-4AA2-8423-8699C88BBC54}"/>
    <cellStyle name="Currency 3 2 4 4" xfId="2407" xr:uid="{1083AAB5-1D1A-421C-81B6-C0F23DBCDF72}"/>
    <cellStyle name="Currency 3 2 4 4 2" xfId="4636" xr:uid="{832BAA4E-02B3-47B8-9498-D1489DB779A3}"/>
    <cellStyle name="Currency 3 2 4 4 2 2" xfId="8854" xr:uid="{6AD834D6-D7F7-44C4-9351-FFD4A11C3DC1}"/>
    <cellStyle name="Currency 3 2 4 4 3" xfId="6709" xr:uid="{3038E10B-E910-4C2E-A65F-0B00C4A957B9}"/>
    <cellStyle name="Currency 3 2 4 5" xfId="2820" xr:uid="{38F848B6-5A15-4180-AF70-7259AB7C40EE}"/>
    <cellStyle name="Currency 3 2 4 5 2" xfId="5049" xr:uid="{9392D340-F8C3-47A2-B46C-A5F3B628A154}"/>
    <cellStyle name="Currency 3 2 4 5 2 2" xfId="9267" xr:uid="{FEDC458C-24D4-4265-A9B7-37D7988D7943}"/>
    <cellStyle name="Currency 3 2 4 5 3" xfId="7122" xr:uid="{3244D1B9-384A-4E3B-BBDC-24F14B61E6D3}"/>
    <cellStyle name="Currency 3 2 4 6" xfId="3255" xr:uid="{1300B42E-EFF4-4A02-ADE4-730C8D896ADA}"/>
    <cellStyle name="Currency 3 2 4 6 2" xfId="7535" xr:uid="{506C70AB-BA6C-4F7A-910F-B0915F966E71}"/>
    <cellStyle name="Currency 3 2 4 7" xfId="3552" xr:uid="{4E570CE6-B910-4C71-87C2-A36E6E29E449}"/>
    <cellStyle name="Currency 3 2 4 8" xfId="3633" xr:uid="{F0107252-1F98-449A-9F4B-3B66637E79EC}"/>
    <cellStyle name="Currency 3 2 4 8 2" xfId="7852" xr:uid="{6D8018A2-71EC-4BB5-8552-DE86FF792632}"/>
    <cellStyle name="Currency 3 2 4 9" xfId="5469" xr:uid="{F88E1832-9C64-4146-9A20-55124C0248A5}"/>
    <cellStyle name="Currency 3 2 5" xfId="186" xr:uid="{00000000-0005-0000-0000-00004A010000}"/>
    <cellStyle name="Currency 3 2 5 10" xfId="1166" xr:uid="{74DE982E-98FB-4BC3-BEDB-6B8837937F53}"/>
    <cellStyle name="Currency 3 2 5 2" xfId="722" xr:uid="{00000000-0005-0000-0000-00004B010000}"/>
    <cellStyle name="Currency 3 2 5 2 2" xfId="3811" xr:uid="{2014D273-7BBC-4D32-8847-4D14FAE53A09}"/>
    <cellStyle name="Currency 3 2 5 2 2 2" xfId="8029" xr:uid="{48EC456F-70AA-43F2-8474-8F2E6E62C0EA}"/>
    <cellStyle name="Currency 3 2 5 2 3" xfId="5884" xr:uid="{049EAF26-278B-4CFE-8540-A6DE69125974}"/>
    <cellStyle name="Currency 3 2 5 2 4" xfId="1581" xr:uid="{83B01A68-A5FE-491B-855B-7AAB852D4BD0}"/>
    <cellStyle name="Currency 3 2 5 3" xfId="1995" xr:uid="{DF93042C-1C42-4F11-BD34-D4DE89A6B8B4}"/>
    <cellStyle name="Currency 3 2 5 3 2" xfId="4224" xr:uid="{02353340-64C2-4940-80ED-A5980E3942E5}"/>
    <cellStyle name="Currency 3 2 5 3 2 2" xfId="8442" xr:uid="{65CB73B9-AEC6-4C8E-A77D-03FE3516652D}"/>
    <cellStyle name="Currency 3 2 5 3 3" xfId="6297" xr:uid="{C5109BFB-F01F-45CE-93EE-D0CBB22937D5}"/>
    <cellStyle name="Currency 3 2 5 4" xfId="2408" xr:uid="{311CB652-54E5-4487-8FCF-3A2171781D04}"/>
    <cellStyle name="Currency 3 2 5 4 2" xfId="4637" xr:uid="{3B3329AF-FA75-42FE-846A-417B5BE5A1EA}"/>
    <cellStyle name="Currency 3 2 5 4 2 2" xfId="8855" xr:uid="{A0DCB750-4A5D-46A8-8881-D098AEC5DE7B}"/>
    <cellStyle name="Currency 3 2 5 4 3" xfId="6710" xr:uid="{D642052D-DD06-4CE9-9E64-1DD17B01D953}"/>
    <cellStyle name="Currency 3 2 5 5" xfId="2821" xr:uid="{4A975227-C350-4F1C-A625-A9BD1F5C8551}"/>
    <cellStyle name="Currency 3 2 5 5 2" xfId="5050" xr:uid="{B40CA06A-E0F7-4794-9EA0-F351167B82F6}"/>
    <cellStyle name="Currency 3 2 5 5 2 2" xfId="9268" xr:uid="{F664B9F4-B090-4347-992B-651784FF12D9}"/>
    <cellStyle name="Currency 3 2 5 5 3" xfId="7123" xr:uid="{FE6036CC-8D39-484B-B3DC-267F477CD3DA}"/>
    <cellStyle name="Currency 3 2 5 6" xfId="3256" xr:uid="{4A67618C-9B2D-4A1E-B9D9-6B9FCA687562}"/>
    <cellStyle name="Currency 3 2 5 6 2" xfId="7536" xr:uid="{F5B2F80E-4AD7-4F9E-95E0-FC12BAF9C058}"/>
    <cellStyle name="Currency 3 2 5 7" xfId="3553" xr:uid="{E01F75DE-195B-4E8A-A7B5-EA0774B33FEF}"/>
    <cellStyle name="Currency 3 2 5 8" xfId="3634" xr:uid="{D50B3763-447D-413D-B376-9D237BFD27F2}"/>
    <cellStyle name="Currency 3 2 5 8 2" xfId="7853" xr:uid="{AD311466-E6FA-4950-9249-F116FD5D71CC}"/>
    <cellStyle name="Currency 3 2 5 9" xfId="5470" xr:uid="{2F6405D9-41A4-426C-86A2-D8449349CB7B}"/>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10" xfId="3635" xr:uid="{FE111036-C9C5-4905-BD43-44D87850F880}"/>
    <cellStyle name="Currency 5 2 2 2 10 2" xfId="7854" xr:uid="{6C0DBC7C-8E34-47B7-91A4-AC13F75DA03D}"/>
    <cellStyle name="Currency 5 2 2 2 11" xfId="5471" xr:uid="{1AD92164-B4BA-42A2-B602-6B0B4050DE42}"/>
    <cellStyle name="Currency 5 2 2 2 12" xfId="1167" xr:uid="{E8017853-F319-486B-A96E-E2FCF9C99FBC}"/>
    <cellStyle name="Currency 5 2 2 2 2" xfId="198" xr:uid="{00000000-0005-0000-0000-00005C010000}"/>
    <cellStyle name="Currency 5 2 2 2 2 10" xfId="5472" xr:uid="{1B249A73-3A3F-4048-B940-AC6BFD568244}"/>
    <cellStyle name="Currency 5 2 2 2 2 11" xfId="1168" xr:uid="{6AE3154A-D1FF-4E7B-9B33-A6B6BAA7251E}"/>
    <cellStyle name="Currency 5 2 2 2 2 2" xfId="199" xr:uid="{00000000-0005-0000-0000-00005D010000}"/>
    <cellStyle name="Currency 5 2 2 2 2 2 10" xfId="1169" xr:uid="{10A2F447-437B-4856-B3B6-46280498AAD2}"/>
    <cellStyle name="Currency 5 2 2 2 2 2 2" xfId="732" xr:uid="{00000000-0005-0000-0000-00005E010000}"/>
    <cellStyle name="Currency 5 2 2 2 2 2 2 2" xfId="3814" xr:uid="{DAA3609E-43E8-41B1-B735-B333BBC2D474}"/>
    <cellStyle name="Currency 5 2 2 2 2 2 2 2 2" xfId="8032" xr:uid="{CFFB973B-E291-4148-941C-A44EEFD7716A}"/>
    <cellStyle name="Currency 5 2 2 2 2 2 2 3" xfId="5887" xr:uid="{19214FD5-3FDF-4EDD-93FF-68EC33246068}"/>
    <cellStyle name="Currency 5 2 2 2 2 2 2 4" xfId="1584" xr:uid="{721F37A8-3787-46F6-93D3-F7A357966356}"/>
    <cellStyle name="Currency 5 2 2 2 2 2 3" xfId="1998" xr:uid="{26F6CEAF-E2BF-48BD-BFD3-B9F55A1D2222}"/>
    <cellStyle name="Currency 5 2 2 2 2 2 3 2" xfId="4227" xr:uid="{55E2C56A-541B-437B-AA6A-7D94A137DD85}"/>
    <cellStyle name="Currency 5 2 2 2 2 2 3 2 2" xfId="8445" xr:uid="{FDAE7B0E-A25A-436D-99AB-FEB47C2B8AB0}"/>
    <cellStyle name="Currency 5 2 2 2 2 2 3 3" xfId="6300" xr:uid="{6B795C25-A1D3-414A-983F-A3C6218D10E1}"/>
    <cellStyle name="Currency 5 2 2 2 2 2 4" xfId="2411" xr:uid="{B91AC3CB-432E-4D39-BA0A-C6B720682F9D}"/>
    <cellStyle name="Currency 5 2 2 2 2 2 4 2" xfId="4640" xr:uid="{E29B8F0F-6DE8-451F-A14E-4F479E795E88}"/>
    <cellStyle name="Currency 5 2 2 2 2 2 4 2 2" xfId="8858" xr:uid="{856C0C9B-CDE0-4255-95BF-FF49AE69FABE}"/>
    <cellStyle name="Currency 5 2 2 2 2 2 4 3" xfId="6713" xr:uid="{40813FF0-0AE8-4C39-B2ED-9634770EC631}"/>
    <cellStyle name="Currency 5 2 2 2 2 2 5" xfId="2824" xr:uid="{ABAFE1C4-F3E8-40A9-B745-495EB440FBC6}"/>
    <cellStyle name="Currency 5 2 2 2 2 2 5 2" xfId="5053" xr:uid="{F281D209-3399-4904-A256-BB44361E285A}"/>
    <cellStyle name="Currency 5 2 2 2 2 2 5 2 2" xfId="9271" xr:uid="{FDB06944-8F3C-4A12-8104-F01DEEA57708}"/>
    <cellStyle name="Currency 5 2 2 2 2 2 5 3" xfId="7126" xr:uid="{A2305393-BB1E-4EC8-8196-15FFC59EDF94}"/>
    <cellStyle name="Currency 5 2 2 2 2 2 6" xfId="3259" xr:uid="{0521B8AB-0E03-4577-B4C1-28EB683162DE}"/>
    <cellStyle name="Currency 5 2 2 2 2 2 6 2" xfId="7539" xr:uid="{0FAF3E3E-101A-42D3-B8AB-F45C8ACB01CF}"/>
    <cellStyle name="Currency 5 2 2 2 2 2 7" xfId="3556" xr:uid="{C79C459A-1B6B-4F81-A58C-6FC73694EDAB}"/>
    <cellStyle name="Currency 5 2 2 2 2 2 8" xfId="3637" xr:uid="{4835AE95-1BF9-4586-A045-F5B9C133D6DA}"/>
    <cellStyle name="Currency 5 2 2 2 2 2 8 2" xfId="7856" xr:uid="{0E5063FB-759E-46DE-B788-AC6ED6BFE90B}"/>
    <cellStyle name="Currency 5 2 2 2 2 2 9" xfId="5473" xr:uid="{B6F6AE28-AFA8-42C5-9A42-33A2CC94BA3D}"/>
    <cellStyle name="Currency 5 2 2 2 2 3" xfId="731" xr:uid="{00000000-0005-0000-0000-00005F010000}"/>
    <cellStyle name="Currency 5 2 2 2 2 3 2" xfId="3813" xr:uid="{D78D8B51-31C1-4D67-AA28-1233C03CD932}"/>
    <cellStyle name="Currency 5 2 2 2 2 3 2 2" xfId="8031" xr:uid="{D3B4AC2C-2ECE-49E5-AE08-EA1A1DF9EBF9}"/>
    <cellStyle name="Currency 5 2 2 2 2 3 3" xfId="5886" xr:uid="{BF0381A0-D10D-46AA-9368-764031A9AD2B}"/>
    <cellStyle name="Currency 5 2 2 2 2 3 4" xfId="1583" xr:uid="{11EEE13B-EF37-48A0-BA8F-879D8D68990D}"/>
    <cellStyle name="Currency 5 2 2 2 2 4" xfId="1997" xr:uid="{4EFD9B7D-4C95-40A9-9A2C-992D7A2B77B0}"/>
    <cellStyle name="Currency 5 2 2 2 2 4 2" xfId="4226" xr:uid="{445E3412-68B6-4A05-AD03-3461160E7614}"/>
    <cellStyle name="Currency 5 2 2 2 2 4 2 2" xfId="8444" xr:uid="{DE1896B7-E0FC-4618-9C72-0B6366B2F02F}"/>
    <cellStyle name="Currency 5 2 2 2 2 4 3" xfId="6299" xr:uid="{A912CE6D-1FB4-4CFD-994E-A1CEBBA8C70D}"/>
    <cellStyle name="Currency 5 2 2 2 2 5" xfId="2410" xr:uid="{82244B1B-35A5-4701-B84D-A361E0B1AAFD}"/>
    <cellStyle name="Currency 5 2 2 2 2 5 2" xfId="4639" xr:uid="{E0788048-9F98-49E7-A56A-204AB99F425B}"/>
    <cellStyle name="Currency 5 2 2 2 2 5 2 2" xfId="8857" xr:uid="{1E47B276-4345-47F8-950F-CBB045EFF81E}"/>
    <cellStyle name="Currency 5 2 2 2 2 5 3" xfId="6712" xr:uid="{BBC76217-D490-49F4-9910-5CDA45C4E5B5}"/>
    <cellStyle name="Currency 5 2 2 2 2 6" xfId="2823" xr:uid="{0B0EC8FE-99A2-478D-AFFF-89231EF89210}"/>
    <cellStyle name="Currency 5 2 2 2 2 6 2" xfId="5052" xr:uid="{B8E7A1D0-2763-4DEB-9C43-93D6FDCBF5DC}"/>
    <cellStyle name="Currency 5 2 2 2 2 6 2 2" xfId="9270" xr:uid="{B5C7D1A0-6BE6-4C63-BAE9-D540093932B8}"/>
    <cellStyle name="Currency 5 2 2 2 2 6 3" xfId="7125" xr:uid="{00876195-6DBE-4D08-91E0-4140857B68F7}"/>
    <cellStyle name="Currency 5 2 2 2 2 7" xfId="3258" xr:uid="{4F59277F-0CED-4D2E-BA1B-C1A8B33F7EF8}"/>
    <cellStyle name="Currency 5 2 2 2 2 7 2" xfId="7538" xr:uid="{0AB2AC1E-BEBF-4BAD-B53C-717F6D9FDFD7}"/>
    <cellStyle name="Currency 5 2 2 2 2 8" xfId="3555" xr:uid="{196A5EA4-2FCC-499A-B6D8-94493D06423E}"/>
    <cellStyle name="Currency 5 2 2 2 2 9" xfId="3636" xr:uid="{34A4BD40-6237-4FDD-90B5-F58119CE218F}"/>
    <cellStyle name="Currency 5 2 2 2 2 9 2" xfId="7855" xr:uid="{B56EF8D2-B382-4D99-9D8D-43E63ED82061}"/>
    <cellStyle name="Currency 5 2 2 2 3" xfId="200" xr:uid="{00000000-0005-0000-0000-000060010000}"/>
    <cellStyle name="Currency 5 2 2 2 3 10" xfId="1170" xr:uid="{C601E98A-DC77-4BFA-99D9-7BDF342030DB}"/>
    <cellStyle name="Currency 5 2 2 2 3 2" xfId="733" xr:uid="{00000000-0005-0000-0000-000061010000}"/>
    <cellStyle name="Currency 5 2 2 2 3 2 2" xfId="3815" xr:uid="{B51B23BB-29E0-4A50-B0F7-5D42D2BBB607}"/>
    <cellStyle name="Currency 5 2 2 2 3 2 2 2" xfId="8033" xr:uid="{E61902E9-80C9-48C1-B2D6-AABB0ACB9845}"/>
    <cellStyle name="Currency 5 2 2 2 3 2 3" xfId="5888" xr:uid="{489066A9-5AA9-42EF-96C2-F21268699F9A}"/>
    <cellStyle name="Currency 5 2 2 2 3 2 4" xfId="1585" xr:uid="{0ECC7D0A-48CE-44F4-9A5C-8BB273A7B687}"/>
    <cellStyle name="Currency 5 2 2 2 3 3" xfId="1999" xr:uid="{AACA3B56-2E90-4DEC-8F7E-EE5ED95750D6}"/>
    <cellStyle name="Currency 5 2 2 2 3 3 2" xfId="4228" xr:uid="{4A7413AC-3FD2-4E61-9D8C-9B96CE317FD6}"/>
    <cellStyle name="Currency 5 2 2 2 3 3 2 2" xfId="8446" xr:uid="{63AFF46A-2183-4F39-811D-29B19C94777A}"/>
    <cellStyle name="Currency 5 2 2 2 3 3 3" xfId="6301" xr:uid="{85CFB2F4-8D37-4255-8201-DF8E2C5E9F39}"/>
    <cellStyle name="Currency 5 2 2 2 3 4" xfId="2412" xr:uid="{C9F1301D-8579-4909-A0C7-BE9218D584FF}"/>
    <cellStyle name="Currency 5 2 2 2 3 4 2" xfId="4641" xr:uid="{75B9AFC7-B14A-4BD0-8023-B01E71302038}"/>
    <cellStyle name="Currency 5 2 2 2 3 4 2 2" xfId="8859" xr:uid="{DAFF48EF-A6B9-487E-B3F2-19E442AE0193}"/>
    <cellStyle name="Currency 5 2 2 2 3 4 3" xfId="6714" xr:uid="{8C584A18-10C7-4C61-8536-198E5D5E12AC}"/>
    <cellStyle name="Currency 5 2 2 2 3 5" xfId="2825" xr:uid="{FB3489EC-627E-40FE-996C-7C7DFB748135}"/>
    <cellStyle name="Currency 5 2 2 2 3 5 2" xfId="5054" xr:uid="{3B8426A1-CBEC-4E93-9EF6-3A4FC9E331AE}"/>
    <cellStyle name="Currency 5 2 2 2 3 5 2 2" xfId="9272" xr:uid="{156FAD46-BD47-4C39-AB76-55C2CA9253EE}"/>
    <cellStyle name="Currency 5 2 2 2 3 5 3" xfId="7127" xr:uid="{F5EBE056-D684-4A35-98DE-B264979C9F06}"/>
    <cellStyle name="Currency 5 2 2 2 3 6" xfId="3260" xr:uid="{8B3699B7-225B-4122-98C6-949100E0E68F}"/>
    <cellStyle name="Currency 5 2 2 2 3 6 2" xfId="7540" xr:uid="{1886BA2D-9BA3-43D3-81B4-80D5C8F00A39}"/>
    <cellStyle name="Currency 5 2 2 2 3 7" xfId="3557" xr:uid="{BDB70837-758A-4439-AF2F-D3B3A79786A6}"/>
    <cellStyle name="Currency 5 2 2 2 3 8" xfId="3638" xr:uid="{FD87F694-A46B-405D-B7C1-B3CBBB5EE590}"/>
    <cellStyle name="Currency 5 2 2 2 3 8 2" xfId="7857" xr:uid="{4FD1B14B-E73E-4C90-965D-02183B5942D1}"/>
    <cellStyle name="Currency 5 2 2 2 3 9" xfId="5474" xr:uid="{4A5C0147-1806-42F8-939D-CF6BBE5DF2CB}"/>
    <cellStyle name="Currency 5 2 2 2 4" xfId="730" xr:uid="{00000000-0005-0000-0000-000062010000}"/>
    <cellStyle name="Currency 5 2 2 2 4 2" xfId="3812" xr:uid="{3015A67F-BA61-45CE-89FA-002906565B15}"/>
    <cellStyle name="Currency 5 2 2 2 4 2 2" xfId="8030" xr:uid="{D734B41E-6829-49D2-958D-4E5DAEABD82F}"/>
    <cellStyle name="Currency 5 2 2 2 4 3" xfId="5885" xr:uid="{2864313C-6358-4689-9459-A984E03E3031}"/>
    <cellStyle name="Currency 5 2 2 2 4 4" xfId="1582" xr:uid="{ADC6B5A8-1B16-4281-8FF3-BE6B1730C77A}"/>
    <cellStyle name="Currency 5 2 2 2 5" xfId="1996" xr:uid="{30FD6935-BDB7-4C9B-9048-D51CD3AD5534}"/>
    <cellStyle name="Currency 5 2 2 2 5 2" xfId="4225" xr:uid="{0919940D-8EC0-499D-820F-668DB2763425}"/>
    <cellStyle name="Currency 5 2 2 2 5 2 2" xfId="8443" xr:uid="{CC732CD8-72CB-4E36-A8EE-F5AB9CC27F40}"/>
    <cellStyle name="Currency 5 2 2 2 5 3" xfId="6298" xr:uid="{1BE230BC-7C5A-4AC9-974D-14F67CA4A6A9}"/>
    <cellStyle name="Currency 5 2 2 2 6" xfId="2409" xr:uid="{687B4FC0-DC28-4CD3-8C4C-84128D3F7405}"/>
    <cellStyle name="Currency 5 2 2 2 6 2" xfId="4638" xr:uid="{5E1D3D4D-9706-485C-AB57-BEC2E13C7397}"/>
    <cellStyle name="Currency 5 2 2 2 6 2 2" xfId="8856" xr:uid="{141F6097-D6EA-4800-A54C-A29D9C2FE8D5}"/>
    <cellStyle name="Currency 5 2 2 2 6 3" xfId="6711" xr:uid="{677E10D8-5C5C-456E-A91F-0E0630E85F42}"/>
    <cellStyle name="Currency 5 2 2 2 7" xfId="2822" xr:uid="{AD6ABC2E-682F-4503-95DA-D0A69F98C75C}"/>
    <cellStyle name="Currency 5 2 2 2 7 2" xfId="5051" xr:uid="{6D536537-BCFF-439D-BF9B-75A0FE0E0E0E}"/>
    <cellStyle name="Currency 5 2 2 2 7 2 2" xfId="9269" xr:uid="{1D667C0C-D4AA-4100-954D-231E176BC395}"/>
    <cellStyle name="Currency 5 2 2 2 7 3" xfId="7124" xr:uid="{E89B5FEC-AA3C-468E-B0FA-2E00E41F658E}"/>
    <cellStyle name="Currency 5 2 2 2 8" xfId="3257" xr:uid="{C223CA1A-6F37-4C4E-8554-1BA8BE6353D0}"/>
    <cellStyle name="Currency 5 2 2 2 8 2" xfId="7537" xr:uid="{32D469EB-D7B8-4914-81EF-917B051761E6}"/>
    <cellStyle name="Currency 5 2 2 2 9" xfId="3554" xr:uid="{750D7AC0-0749-4D89-BCBA-F028929F69E8}"/>
    <cellStyle name="Currency 5 2 2 3" xfId="201" xr:uid="{00000000-0005-0000-0000-000063010000}"/>
    <cellStyle name="Currency 5 2 2 3 10" xfId="5475" xr:uid="{27EF87CF-C3A2-40BE-8FAB-8E327667C76F}"/>
    <cellStyle name="Currency 5 2 2 3 11" xfId="1171" xr:uid="{8BA33B15-D527-4C8B-8080-CF6C7CFBB1AE}"/>
    <cellStyle name="Currency 5 2 2 3 2" xfId="202" xr:uid="{00000000-0005-0000-0000-000064010000}"/>
    <cellStyle name="Currency 5 2 2 3 2 10" xfId="1172" xr:uid="{3A8037D9-43C3-4C28-BE02-EC4BD6F9F1B0}"/>
    <cellStyle name="Currency 5 2 2 3 2 2" xfId="735" xr:uid="{00000000-0005-0000-0000-000065010000}"/>
    <cellStyle name="Currency 5 2 2 3 2 2 2" xfId="3817" xr:uid="{32968A5D-0B82-4A10-AAF9-121F358B9E04}"/>
    <cellStyle name="Currency 5 2 2 3 2 2 2 2" xfId="8035" xr:uid="{640453F0-2D32-49E0-9F04-43AB6B7BC337}"/>
    <cellStyle name="Currency 5 2 2 3 2 2 3" xfId="5890" xr:uid="{1E4918AD-A6F4-40FB-948F-6E640B6F233D}"/>
    <cellStyle name="Currency 5 2 2 3 2 2 4" xfId="1587" xr:uid="{4BE588A9-66DE-4042-B014-86A24131CD68}"/>
    <cellStyle name="Currency 5 2 2 3 2 3" xfId="2001" xr:uid="{BA5C14CA-9518-43A9-A816-FCDB24D3937D}"/>
    <cellStyle name="Currency 5 2 2 3 2 3 2" xfId="4230" xr:uid="{CB8691EE-DDCC-4C30-BD1D-B0F7E705B5B4}"/>
    <cellStyle name="Currency 5 2 2 3 2 3 2 2" xfId="8448" xr:uid="{0AD2E42B-5E99-4730-A6E3-797DB4562F35}"/>
    <cellStyle name="Currency 5 2 2 3 2 3 3" xfId="6303" xr:uid="{FDB805FF-0CB1-4D58-BC93-EB26BAA1807A}"/>
    <cellStyle name="Currency 5 2 2 3 2 4" xfId="2414" xr:uid="{CFF3A329-3B58-4531-A5F9-4B74AC45C86D}"/>
    <cellStyle name="Currency 5 2 2 3 2 4 2" xfId="4643" xr:uid="{E20D61B6-DA6E-4F9D-B88B-2CB6A2B23764}"/>
    <cellStyle name="Currency 5 2 2 3 2 4 2 2" xfId="8861" xr:uid="{7F174356-044E-4230-A21D-156CCFD565D1}"/>
    <cellStyle name="Currency 5 2 2 3 2 4 3" xfId="6716" xr:uid="{CFC32212-A731-4FFD-896E-C7156E848341}"/>
    <cellStyle name="Currency 5 2 2 3 2 5" xfId="2827" xr:uid="{CFB9AA27-21B1-4DB0-B2BC-FF31804BEB1D}"/>
    <cellStyle name="Currency 5 2 2 3 2 5 2" xfId="5056" xr:uid="{7F8EA350-1430-408F-8C0C-465D13B78CD5}"/>
    <cellStyle name="Currency 5 2 2 3 2 5 2 2" xfId="9274" xr:uid="{94BABC7A-2DC7-4CA6-8F63-BE981EA3FC73}"/>
    <cellStyle name="Currency 5 2 2 3 2 5 3" xfId="7129" xr:uid="{10A2EACD-0FF9-4733-91FC-B498663C14E2}"/>
    <cellStyle name="Currency 5 2 2 3 2 6" xfId="3262" xr:uid="{9D8B5A7B-62C9-4336-B63C-CA6C7AFE464F}"/>
    <cellStyle name="Currency 5 2 2 3 2 6 2" xfId="7542" xr:uid="{E4C88214-0681-4C49-9FE2-A5E0CF70013B}"/>
    <cellStyle name="Currency 5 2 2 3 2 7" xfId="3559" xr:uid="{A61BB2A9-A581-4572-A03C-138CE6F22413}"/>
    <cellStyle name="Currency 5 2 2 3 2 8" xfId="3640" xr:uid="{A7E9A7DA-21A2-4CA1-827B-53FE2BF71DC7}"/>
    <cellStyle name="Currency 5 2 2 3 2 8 2" xfId="7859" xr:uid="{5C7BFFDE-02DF-483D-9079-7CC7FA94BD49}"/>
    <cellStyle name="Currency 5 2 2 3 2 9" xfId="5476" xr:uid="{A219E6CA-C154-4A2E-AF82-04FE8F6F50A2}"/>
    <cellStyle name="Currency 5 2 2 3 3" xfId="734" xr:uid="{00000000-0005-0000-0000-000066010000}"/>
    <cellStyle name="Currency 5 2 2 3 3 2" xfId="3816" xr:uid="{1387EE19-FDED-440F-B04F-8BD597BF7DA2}"/>
    <cellStyle name="Currency 5 2 2 3 3 2 2" xfId="8034" xr:uid="{39A819C5-DEAC-4ECE-87FC-A18D1A825FFE}"/>
    <cellStyle name="Currency 5 2 2 3 3 3" xfId="5889" xr:uid="{0789555F-ECE8-4451-8556-E6BD4C6983A0}"/>
    <cellStyle name="Currency 5 2 2 3 3 4" xfId="1586" xr:uid="{B0A5D773-E556-4954-AC10-B9E862D3BBAF}"/>
    <cellStyle name="Currency 5 2 2 3 4" xfId="2000" xr:uid="{D4A5568A-1BF8-40C4-82E7-F7EFD3719FE6}"/>
    <cellStyle name="Currency 5 2 2 3 4 2" xfId="4229" xr:uid="{0E79FC6A-9098-445D-9A86-A6ACA9985FC4}"/>
    <cellStyle name="Currency 5 2 2 3 4 2 2" xfId="8447" xr:uid="{83FDAFC4-23A5-4AC9-91C9-2B9835049E62}"/>
    <cellStyle name="Currency 5 2 2 3 4 3" xfId="6302" xr:uid="{243B3739-F75F-4049-B66C-0795F0EFD896}"/>
    <cellStyle name="Currency 5 2 2 3 5" xfId="2413" xr:uid="{4ACAA925-C20F-470E-8068-966A4512536D}"/>
    <cellStyle name="Currency 5 2 2 3 5 2" xfId="4642" xr:uid="{41042E20-71C6-4082-B10B-6FB6CE390A5F}"/>
    <cellStyle name="Currency 5 2 2 3 5 2 2" xfId="8860" xr:uid="{232A1CE7-D063-41D1-9057-4CF1EAA80383}"/>
    <cellStyle name="Currency 5 2 2 3 5 3" xfId="6715" xr:uid="{31387B7F-D4BA-435C-8D8A-2CBD918556F5}"/>
    <cellStyle name="Currency 5 2 2 3 6" xfId="2826" xr:uid="{6196920C-A6BF-4AE7-B8D7-AB37B82A2874}"/>
    <cellStyle name="Currency 5 2 2 3 6 2" xfId="5055" xr:uid="{E5B51ACD-5C44-4108-9FA4-19542B2EDBB3}"/>
    <cellStyle name="Currency 5 2 2 3 6 2 2" xfId="9273" xr:uid="{26CC31FC-2B65-4AC7-8C3E-B42AACC40D64}"/>
    <cellStyle name="Currency 5 2 2 3 6 3" xfId="7128" xr:uid="{C94AAEBD-C629-493B-BB05-1C85EE27742F}"/>
    <cellStyle name="Currency 5 2 2 3 7" xfId="3261" xr:uid="{0771DD25-B45B-446C-B1B7-8F98CAA88CD5}"/>
    <cellStyle name="Currency 5 2 2 3 7 2" xfId="7541" xr:uid="{79B6B2C2-CF7F-4E56-9AEA-ADD8E0904B40}"/>
    <cellStyle name="Currency 5 2 2 3 8" xfId="3558" xr:uid="{F3DAD57B-B2D4-487D-A583-923A7E3C8820}"/>
    <cellStyle name="Currency 5 2 2 3 9" xfId="3639" xr:uid="{043FBC39-C08C-4C86-B81D-70C10D660646}"/>
    <cellStyle name="Currency 5 2 2 3 9 2" xfId="7858" xr:uid="{610CF39A-B89E-4AB3-9DBD-CE41D8A1EC78}"/>
    <cellStyle name="Currency 5 2 2 4" xfId="203" xr:uid="{00000000-0005-0000-0000-000067010000}"/>
    <cellStyle name="Currency 5 2 2 4 10" xfId="1173" xr:uid="{9D9C8C33-B274-42B1-AB82-C806ABAF8AA4}"/>
    <cellStyle name="Currency 5 2 2 4 2" xfId="736" xr:uid="{00000000-0005-0000-0000-000068010000}"/>
    <cellStyle name="Currency 5 2 2 4 2 2" xfId="3818" xr:uid="{370E9FEC-7307-4189-9654-DB0DEB5E20D5}"/>
    <cellStyle name="Currency 5 2 2 4 2 2 2" xfId="8036" xr:uid="{6A859697-0BF3-4374-BB76-0B9AB910148D}"/>
    <cellStyle name="Currency 5 2 2 4 2 3" xfId="5891" xr:uid="{4951E127-A10B-448C-8332-C3F7A2A647EC}"/>
    <cellStyle name="Currency 5 2 2 4 2 4" xfId="1588" xr:uid="{629FDA25-BFF1-444C-BF4C-A1A569CDDAC7}"/>
    <cellStyle name="Currency 5 2 2 4 3" xfId="2002" xr:uid="{6762787E-1EF0-4383-94CC-3C986788100E}"/>
    <cellStyle name="Currency 5 2 2 4 3 2" xfId="4231" xr:uid="{F20F65DD-9B4E-4AF5-AB3E-A1E5A9426EE2}"/>
    <cellStyle name="Currency 5 2 2 4 3 2 2" xfId="8449" xr:uid="{09DF0D2D-B797-4AE0-92DB-5AB758FE9691}"/>
    <cellStyle name="Currency 5 2 2 4 3 3" xfId="6304" xr:uid="{630F6703-88F6-42F9-850C-30F65EA0E48F}"/>
    <cellStyle name="Currency 5 2 2 4 4" xfId="2415" xr:uid="{E1E1B090-F64C-4679-B3F4-53189EB556AC}"/>
    <cellStyle name="Currency 5 2 2 4 4 2" xfId="4644" xr:uid="{D0C0D462-954F-4374-BF8C-DF3D19369BF8}"/>
    <cellStyle name="Currency 5 2 2 4 4 2 2" xfId="8862" xr:uid="{D495AA50-7B7F-4E29-846E-062706932835}"/>
    <cellStyle name="Currency 5 2 2 4 4 3" xfId="6717" xr:uid="{5AEB533C-2395-42A7-A79D-66B5827FE04F}"/>
    <cellStyle name="Currency 5 2 2 4 5" xfId="2828" xr:uid="{96DA9C7D-22D9-4925-B078-56D4DC1F7532}"/>
    <cellStyle name="Currency 5 2 2 4 5 2" xfId="5057" xr:uid="{4137EBCD-67BF-4CC6-9182-103E4BAA4741}"/>
    <cellStyle name="Currency 5 2 2 4 5 2 2" xfId="9275" xr:uid="{50E1FB8C-971B-43C4-9110-71620027B524}"/>
    <cellStyle name="Currency 5 2 2 4 5 3" xfId="7130" xr:uid="{C0FDF087-BFF6-4E99-8C16-32EB0619E024}"/>
    <cellStyle name="Currency 5 2 2 4 6" xfId="3263" xr:uid="{051A456E-FA53-4C43-B3A9-0433C302A4C0}"/>
    <cellStyle name="Currency 5 2 2 4 6 2" xfId="7543" xr:uid="{FD0BD3A6-7D87-48D9-9C93-BF6E30E13552}"/>
    <cellStyle name="Currency 5 2 2 4 7" xfId="3560" xr:uid="{61E52606-55CD-4CBA-8E46-BDCBE20548E3}"/>
    <cellStyle name="Currency 5 2 2 4 8" xfId="3641" xr:uid="{9F1D3940-9458-4800-A200-DC70A42A6A3A}"/>
    <cellStyle name="Currency 5 2 2 4 8 2" xfId="7860" xr:uid="{CFFD7492-A3DE-4FE3-A30F-77321F0F788F}"/>
    <cellStyle name="Currency 5 2 2 4 9" xfId="5477" xr:uid="{8E4F21C4-F86C-4AAE-92F3-B598F21B59E8}"/>
    <cellStyle name="Currency 5 2 2 5" xfId="204" xr:uid="{00000000-0005-0000-0000-000069010000}"/>
    <cellStyle name="Currency 5 2 2 5 10" xfId="1174" xr:uid="{C22E5C76-8E8A-4878-B50C-03C334E648D8}"/>
    <cellStyle name="Currency 5 2 2 5 2" xfId="737" xr:uid="{00000000-0005-0000-0000-00006A010000}"/>
    <cellStyle name="Currency 5 2 2 5 2 2" xfId="3819" xr:uid="{691764E4-1081-4AF0-B557-9CCB6C95E235}"/>
    <cellStyle name="Currency 5 2 2 5 2 2 2" xfId="8037" xr:uid="{A6DD7992-7676-4E89-B64B-0CFFD069A5B7}"/>
    <cellStyle name="Currency 5 2 2 5 2 3" xfId="5892" xr:uid="{9F54E55A-2DA5-4684-AF8C-26B743673980}"/>
    <cellStyle name="Currency 5 2 2 5 2 4" xfId="1589" xr:uid="{34A91182-8355-4F95-A62F-AE5B12637AC6}"/>
    <cellStyle name="Currency 5 2 2 5 3" xfId="2003" xr:uid="{69719DEB-DE9C-4756-8DEB-95E52F20CE38}"/>
    <cellStyle name="Currency 5 2 2 5 3 2" xfId="4232" xr:uid="{5EE90631-C98D-4896-B890-C75B355E6E22}"/>
    <cellStyle name="Currency 5 2 2 5 3 2 2" xfId="8450" xr:uid="{79496A59-B8D0-4D42-B7E0-2BBA4099118F}"/>
    <cellStyle name="Currency 5 2 2 5 3 3" xfId="6305" xr:uid="{D840A27C-526C-404A-98E3-D6F83C0ABEF7}"/>
    <cellStyle name="Currency 5 2 2 5 4" xfId="2416" xr:uid="{F0FA1A82-06DF-4AF8-9EE7-59FF1A89968A}"/>
    <cellStyle name="Currency 5 2 2 5 4 2" xfId="4645" xr:uid="{28382372-A395-4934-A7ED-A380076324C7}"/>
    <cellStyle name="Currency 5 2 2 5 4 2 2" xfId="8863" xr:uid="{C3B76199-53F0-4447-9D0B-69330B4D348A}"/>
    <cellStyle name="Currency 5 2 2 5 4 3" xfId="6718" xr:uid="{0EC17CFD-DD3D-42D6-B71D-28B67D65AC4F}"/>
    <cellStyle name="Currency 5 2 2 5 5" xfId="2829" xr:uid="{35A0C4B3-DEAF-47D8-B96A-24CA0B1033C2}"/>
    <cellStyle name="Currency 5 2 2 5 5 2" xfId="5058" xr:uid="{62513C42-427D-4F83-9B37-9F892B811AE9}"/>
    <cellStyle name="Currency 5 2 2 5 5 2 2" xfId="9276" xr:uid="{B00E4BAC-7623-4C68-A04A-2B5DA4A294F0}"/>
    <cellStyle name="Currency 5 2 2 5 5 3" xfId="7131" xr:uid="{B989E25A-2D24-4406-B48C-E6C426A10E78}"/>
    <cellStyle name="Currency 5 2 2 5 6" xfId="3264" xr:uid="{5BE6EE65-43BF-4D8B-8D03-61DF8CBECF42}"/>
    <cellStyle name="Currency 5 2 2 5 6 2" xfId="7544" xr:uid="{AFCEA2FC-A65B-46E5-8930-27F9F9622E48}"/>
    <cellStyle name="Currency 5 2 2 5 7" xfId="3561" xr:uid="{75189DB4-E427-4CB6-8CD4-4B547D8D4F95}"/>
    <cellStyle name="Currency 5 2 2 5 8" xfId="3642" xr:uid="{8DEA392D-6AEE-4CD3-8AD1-C21B15122859}"/>
    <cellStyle name="Currency 5 2 2 5 8 2" xfId="7861" xr:uid="{BB566566-8C74-41EA-B58D-48B2B53F4CA1}"/>
    <cellStyle name="Currency 5 2 2 5 9" xfId="5478" xr:uid="{D3A21F5A-CF45-4A7E-880D-C6B1C13C5117}"/>
    <cellStyle name="Currency 5 2 3" xfId="205" xr:uid="{00000000-0005-0000-0000-00006B010000}"/>
    <cellStyle name="Currency 5 2 3 2" xfId="738" xr:uid="{00000000-0005-0000-0000-00006C010000}"/>
    <cellStyle name="Currency 5 2 4" xfId="206" xr:uid="{00000000-0005-0000-0000-00006D010000}"/>
    <cellStyle name="Currency 5 2 4 10" xfId="5479" xr:uid="{A4A32ECA-5308-48F0-BAE0-56D5E8ED2AB5}"/>
    <cellStyle name="Currency 5 2 4 11" xfId="1175" xr:uid="{42638569-46E2-4919-91F4-172C42E0F707}"/>
    <cellStyle name="Currency 5 2 4 2" xfId="207" xr:uid="{00000000-0005-0000-0000-00006E010000}"/>
    <cellStyle name="Currency 5 2 4 2 10" xfId="1176" xr:uid="{D7DC1462-4CE8-4645-81C6-6D061BD7E840}"/>
    <cellStyle name="Currency 5 2 4 2 2" xfId="740" xr:uid="{00000000-0005-0000-0000-00006F010000}"/>
    <cellStyle name="Currency 5 2 4 2 2 2" xfId="3821" xr:uid="{795D862D-90BE-4683-AB86-D6A3D83AE320}"/>
    <cellStyle name="Currency 5 2 4 2 2 2 2" xfId="8039" xr:uid="{AEDF50CB-0DF8-490B-BD70-51FE828F430F}"/>
    <cellStyle name="Currency 5 2 4 2 2 3" xfId="5894" xr:uid="{64784D1B-E141-4CB8-8CF9-CB7C4986D94F}"/>
    <cellStyle name="Currency 5 2 4 2 2 4" xfId="1591" xr:uid="{9B584F82-2FA6-4F1B-A0EC-70AE91A26CBB}"/>
    <cellStyle name="Currency 5 2 4 2 3" xfId="2005" xr:uid="{200F9700-7780-4F57-9F25-8C9A96E9DE8C}"/>
    <cellStyle name="Currency 5 2 4 2 3 2" xfId="4234" xr:uid="{A00B483F-E2CA-4583-AF35-464DF2FA6112}"/>
    <cellStyle name="Currency 5 2 4 2 3 2 2" xfId="8452" xr:uid="{3C72E0BE-B39A-47A4-B89D-919BA937A581}"/>
    <cellStyle name="Currency 5 2 4 2 3 3" xfId="6307" xr:uid="{EC88AF90-D4C6-4931-9266-E3D4072C8ABF}"/>
    <cellStyle name="Currency 5 2 4 2 4" xfId="2418" xr:uid="{939791BD-843A-4475-8658-F5C3069372C1}"/>
    <cellStyle name="Currency 5 2 4 2 4 2" xfId="4647" xr:uid="{076048FC-5F62-4313-97B7-6721D4CDCFC6}"/>
    <cellStyle name="Currency 5 2 4 2 4 2 2" xfId="8865" xr:uid="{B95F2ABD-942A-4FAE-88BF-F88C30EF570B}"/>
    <cellStyle name="Currency 5 2 4 2 4 3" xfId="6720" xr:uid="{4B076C6F-B09B-40F2-B03E-D223F97479E2}"/>
    <cellStyle name="Currency 5 2 4 2 5" xfId="2831" xr:uid="{B692212F-CB97-4AA6-A4C8-15D299179413}"/>
    <cellStyle name="Currency 5 2 4 2 5 2" xfId="5060" xr:uid="{6D33FDA9-6521-4C19-ADC2-37D6462FDA91}"/>
    <cellStyle name="Currency 5 2 4 2 5 2 2" xfId="9278" xr:uid="{D3A5A3AF-1A48-4F8C-A2F1-9CAB2A16EB17}"/>
    <cellStyle name="Currency 5 2 4 2 5 3" xfId="7133" xr:uid="{E2300561-EC16-456C-9E37-3DA6485ED73E}"/>
    <cellStyle name="Currency 5 2 4 2 6" xfId="3266" xr:uid="{F38F0C88-A382-4735-9ACD-93D2981767C3}"/>
    <cellStyle name="Currency 5 2 4 2 6 2" xfId="7546" xr:uid="{27D977F7-B2F0-4581-B7EF-15558C51EA97}"/>
    <cellStyle name="Currency 5 2 4 2 7" xfId="3563" xr:uid="{AF347ADA-EBD9-41EF-B6D8-934F95E26E90}"/>
    <cellStyle name="Currency 5 2 4 2 8" xfId="3644" xr:uid="{175D2116-4627-4EF2-BC30-21F9581EC00A}"/>
    <cellStyle name="Currency 5 2 4 2 8 2" xfId="7863" xr:uid="{CEF952C6-5258-4B04-84C7-09DB456363F4}"/>
    <cellStyle name="Currency 5 2 4 2 9" xfId="5480" xr:uid="{45B3CE73-EC68-450C-9D2D-513934F4A1FF}"/>
    <cellStyle name="Currency 5 2 4 3" xfId="739" xr:uid="{00000000-0005-0000-0000-000070010000}"/>
    <cellStyle name="Currency 5 2 4 3 2" xfId="3820" xr:uid="{B4C7CB47-5230-44C0-B167-F6ADC927F008}"/>
    <cellStyle name="Currency 5 2 4 3 2 2" xfId="8038" xr:uid="{17CF6101-3E95-4399-B52F-3D4644E95CBA}"/>
    <cellStyle name="Currency 5 2 4 3 3" xfId="5893" xr:uid="{EC083372-3564-4435-90A2-8DA40E45C442}"/>
    <cellStyle name="Currency 5 2 4 3 4" xfId="1590" xr:uid="{64C7C2E2-4981-4E97-ABE0-B2DBED5DAC18}"/>
    <cellStyle name="Currency 5 2 4 4" xfId="2004" xr:uid="{D36A93DE-AEDA-4EAC-924C-0D19D5A7D351}"/>
    <cellStyle name="Currency 5 2 4 4 2" xfId="4233" xr:uid="{1D0B6213-664C-445F-A637-E613075AA5E9}"/>
    <cellStyle name="Currency 5 2 4 4 2 2" xfId="8451" xr:uid="{B01386D3-CBFE-4372-AEB6-D579F2A06905}"/>
    <cellStyle name="Currency 5 2 4 4 3" xfId="6306" xr:uid="{050342C9-0A76-4AF0-8536-F8B87AC5AF26}"/>
    <cellStyle name="Currency 5 2 4 5" xfId="2417" xr:uid="{0A654977-2926-4B29-9578-405A34481676}"/>
    <cellStyle name="Currency 5 2 4 5 2" xfId="4646" xr:uid="{FA66F6A1-2247-4FE6-97E0-640FAD2F6DFE}"/>
    <cellStyle name="Currency 5 2 4 5 2 2" xfId="8864" xr:uid="{5BF7D6DE-0DA4-4B03-9526-97EE189E6BB6}"/>
    <cellStyle name="Currency 5 2 4 5 3" xfId="6719" xr:uid="{C4CA67DF-600D-4199-86BC-0083E9282D29}"/>
    <cellStyle name="Currency 5 2 4 6" xfId="2830" xr:uid="{58232D8E-7367-48B7-A25C-F919A64CBF1E}"/>
    <cellStyle name="Currency 5 2 4 6 2" xfId="5059" xr:uid="{ECCE116E-CE0C-4334-992D-C7BDA72BBEF0}"/>
    <cellStyle name="Currency 5 2 4 6 2 2" xfId="9277" xr:uid="{681A7159-B9B0-4815-A120-091D91DA965B}"/>
    <cellStyle name="Currency 5 2 4 6 3" xfId="7132" xr:uid="{577709EB-E830-4969-A636-27DA5BA5D7D8}"/>
    <cellStyle name="Currency 5 2 4 7" xfId="3265" xr:uid="{C541BFE4-9173-40E2-B223-CE0CFD43CCA4}"/>
    <cellStyle name="Currency 5 2 4 7 2" xfId="7545" xr:uid="{AFDC40DC-5F5F-4548-B0E7-8BDBF581ACE2}"/>
    <cellStyle name="Currency 5 2 4 8" xfId="3562" xr:uid="{AE66F828-73AE-411B-9738-BBAFFB5409B7}"/>
    <cellStyle name="Currency 5 2 4 9" xfId="3643" xr:uid="{600A7DEB-76F0-43E9-A941-8B50B65665E4}"/>
    <cellStyle name="Currency 5 2 4 9 2" xfId="7862" xr:uid="{0E59BDF9-C529-49BB-9898-83225BEC613E}"/>
    <cellStyle name="Currency 5 2 5" xfId="208" xr:uid="{00000000-0005-0000-0000-000071010000}"/>
    <cellStyle name="Currency 5 2 5 10" xfId="1177" xr:uid="{7543A0B5-EAF5-41FD-A1CF-967F1A1602D9}"/>
    <cellStyle name="Currency 5 2 5 2" xfId="741" xr:uid="{00000000-0005-0000-0000-000072010000}"/>
    <cellStyle name="Currency 5 2 5 2 2" xfId="3822" xr:uid="{505FE4D3-3750-4A1E-839D-9C86298DF990}"/>
    <cellStyle name="Currency 5 2 5 2 2 2" xfId="8040" xr:uid="{0032C97F-77E8-4FC8-84F1-0332ECDB5A98}"/>
    <cellStyle name="Currency 5 2 5 2 3" xfId="5895" xr:uid="{69489A53-90AC-4BE5-AAE4-966A4024FF5C}"/>
    <cellStyle name="Currency 5 2 5 2 4" xfId="1592" xr:uid="{057DB964-F487-4ACF-93AF-BC0B5043558A}"/>
    <cellStyle name="Currency 5 2 5 3" xfId="2006" xr:uid="{F279A07C-9C0E-4C1A-90B1-46A1C469717F}"/>
    <cellStyle name="Currency 5 2 5 3 2" xfId="4235" xr:uid="{04EB6EAA-C7C1-4C03-BA95-1DD0A29CE3BC}"/>
    <cellStyle name="Currency 5 2 5 3 2 2" xfId="8453" xr:uid="{23A51EB8-1023-4F4A-AFC3-3F1AA9934D16}"/>
    <cellStyle name="Currency 5 2 5 3 3" xfId="6308" xr:uid="{2F358FA9-E915-4EC0-B50D-C0D88B1E0CD8}"/>
    <cellStyle name="Currency 5 2 5 4" xfId="2419" xr:uid="{583830D1-6802-415A-863D-D72D5DC62980}"/>
    <cellStyle name="Currency 5 2 5 4 2" xfId="4648" xr:uid="{58F79F35-4B71-4640-911A-048C89A8972C}"/>
    <cellStyle name="Currency 5 2 5 4 2 2" xfId="8866" xr:uid="{5B4D3FCE-E71F-4479-92BD-4EC544D8B7EC}"/>
    <cellStyle name="Currency 5 2 5 4 3" xfId="6721" xr:uid="{6A356A72-67D1-436A-95DD-65AA7B76CD56}"/>
    <cellStyle name="Currency 5 2 5 5" xfId="2832" xr:uid="{69EC67C5-0C09-4CA3-80FE-7BB463AEA1C0}"/>
    <cellStyle name="Currency 5 2 5 5 2" xfId="5061" xr:uid="{3CFA5484-A169-458A-AED4-F11611F53894}"/>
    <cellStyle name="Currency 5 2 5 5 2 2" xfId="9279" xr:uid="{FA106070-E99B-454A-B555-9C5FAEF65B01}"/>
    <cellStyle name="Currency 5 2 5 5 3" xfId="7134" xr:uid="{033A6A12-613D-4045-94BA-8E1529E6B339}"/>
    <cellStyle name="Currency 5 2 5 6" xfId="3267" xr:uid="{B17995CC-AD95-4319-A0EB-DCF092155150}"/>
    <cellStyle name="Currency 5 2 5 6 2" xfId="7547" xr:uid="{B556C30A-51DE-4E88-B161-EC1109F09307}"/>
    <cellStyle name="Currency 5 2 5 7" xfId="3564" xr:uid="{ABCCC985-8F48-4360-9AC1-6533823C8584}"/>
    <cellStyle name="Currency 5 2 5 8" xfId="3645" xr:uid="{2C1289B2-C3D9-44F1-B91E-2381B6FAA080}"/>
    <cellStyle name="Currency 5 2 5 8 2" xfId="7864" xr:uid="{8814E64C-D213-4426-B47A-E30A2F40AA44}"/>
    <cellStyle name="Currency 5 2 5 9" xfId="5481" xr:uid="{98E14487-C627-43A4-9F33-E432AA310442}"/>
    <cellStyle name="Currency 5 2 6" xfId="209" xr:uid="{00000000-0005-0000-0000-000073010000}"/>
    <cellStyle name="Currency 5 2 6 10" xfId="1178" xr:uid="{C1F22449-C4E4-44A6-BC27-DD8B29DC3D26}"/>
    <cellStyle name="Currency 5 2 6 2" xfId="742" xr:uid="{00000000-0005-0000-0000-000074010000}"/>
    <cellStyle name="Currency 5 2 6 2 2" xfId="3823" xr:uid="{81BA0616-4F63-43F3-9F3C-99317B37C052}"/>
    <cellStyle name="Currency 5 2 6 2 2 2" xfId="8041" xr:uid="{52F5491B-A2E3-4566-BE68-251A593565D1}"/>
    <cellStyle name="Currency 5 2 6 2 3" xfId="5896" xr:uid="{CE818CF3-0260-447B-B908-DC0876E7E4E5}"/>
    <cellStyle name="Currency 5 2 6 2 4" xfId="1593" xr:uid="{66BE2EBD-D743-430E-B7FD-A2480221C6E8}"/>
    <cellStyle name="Currency 5 2 6 3" xfId="2007" xr:uid="{79B1668B-D572-4A47-89C9-58D0D6575923}"/>
    <cellStyle name="Currency 5 2 6 3 2" xfId="4236" xr:uid="{07D7B63B-5CE5-4AA7-980E-CB0A1B314F94}"/>
    <cellStyle name="Currency 5 2 6 3 2 2" xfId="8454" xr:uid="{B6B0556A-D51B-4FF9-82D8-D0804B32B47E}"/>
    <cellStyle name="Currency 5 2 6 3 3" xfId="6309" xr:uid="{B48BE0C0-7922-47EA-9D60-FA4F1A6A0AD3}"/>
    <cellStyle name="Currency 5 2 6 4" xfId="2420" xr:uid="{0E6D4AA3-3548-460E-97C4-854116000B90}"/>
    <cellStyle name="Currency 5 2 6 4 2" xfId="4649" xr:uid="{27840578-4D46-47E4-A698-15D6F5DA5401}"/>
    <cellStyle name="Currency 5 2 6 4 2 2" xfId="8867" xr:uid="{5FB470AD-F2F3-4031-ADBE-41983DB8A9B2}"/>
    <cellStyle name="Currency 5 2 6 4 3" xfId="6722" xr:uid="{5C2787C8-22A8-4429-9DC0-2284FCAE8D15}"/>
    <cellStyle name="Currency 5 2 6 5" xfId="2833" xr:uid="{7CBEDD03-669F-4C20-9904-68F1F455725B}"/>
    <cellStyle name="Currency 5 2 6 5 2" xfId="5062" xr:uid="{AC20B91D-D8D0-47A4-9CB9-407BA979D0C7}"/>
    <cellStyle name="Currency 5 2 6 5 2 2" xfId="9280" xr:uid="{A18D4421-FB77-4ECD-BB56-2D77B5F68BF2}"/>
    <cellStyle name="Currency 5 2 6 5 3" xfId="7135" xr:uid="{FBEB90FC-6242-4952-A07D-265D712F117C}"/>
    <cellStyle name="Currency 5 2 6 6" xfId="3268" xr:uid="{CBA56C0E-902B-40E4-9DA3-6928D21B8E5B}"/>
    <cellStyle name="Currency 5 2 6 6 2" xfId="7548" xr:uid="{C95406E8-ACDD-4546-B3ED-D306B9CF6EEF}"/>
    <cellStyle name="Currency 5 2 6 7" xfId="3565" xr:uid="{ABBD8566-3F55-42F4-A64C-9BD7D2B7124B}"/>
    <cellStyle name="Currency 5 2 6 8" xfId="3646" xr:uid="{65D859D1-DDB1-448F-B402-8362A5C47204}"/>
    <cellStyle name="Currency 5 2 6 8 2" xfId="7865" xr:uid="{C5D6903F-832B-4114-8C5F-EC94DB18EB09}"/>
    <cellStyle name="Currency 5 2 6 9" xfId="5482" xr:uid="{9CE7B856-A9C7-43C8-9103-271076B6E697}"/>
    <cellStyle name="Currency 5 2 7" xfId="729" xr:uid="{00000000-0005-0000-0000-000075010000}"/>
    <cellStyle name="Currency 5 3" xfId="210" xr:uid="{00000000-0005-0000-0000-000076010000}"/>
    <cellStyle name="Currency 5 3 2" xfId="211" xr:uid="{00000000-0005-0000-0000-000077010000}"/>
    <cellStyle name="Currency 5 3 2 10" xfId="3647" xr:uid="{67B046B6-18AB-4D11-9036-817484C35B28}"/>
    <cellStyle name="Currency 5 3 2 10 2" xfId="7866" xr:uid="{0611D0DA-FEFF-4342-994A-F05CF939160E}"/>
    <cellStyle name="Currency 5 3 2 11" xfId="5483" xr:uid="{0267DC7E-72A2-4D28-A4F7-6C6B8E175D74}"/>
    <cellStyle name="Currency 5 3 2 12" xfId="1179" xr:uid="{6F890CDF-53E6-464D-A16A-24095888F307}"/>
    <cellStyle name="Currency 5 3 2 2" xfId="212" xr:uid="{00000000-0005-0000-0000-000078010000}"/>
    <cellStyle name="Currency 5 3 2 2 10" xfId="5484" xr:uid="{CB1F4F49-63E2-4985-A274-64E0A72C2F8D}"/>
    <cellStyle name="Currency 5 3 2 2 11" xfId="1180" xr:uid="{C5B23227-D6F6-4702-B5E6-5A237C1B360C}"/>
    <cellStyle name="Currency 5 3 2 2 2" xfId="213" xr:uid="{00000000-0005-0000-0000-000079010000}"/>
    <cellStyle name="Currency 5 3 2 2 2 10" xfId="1181" xr:uid="{44238450-F99E-42D0-A419-038B38FCFC58}"/>
    <cellStyle name="Currency 5 3 2 2 2 2" xfId="745" xr:uid="{00000000-0005-0000-0000-00007A010000}"/>
    <cellStyle name="Currency 5 3 2 2 2 2 2" xfId="3826" xr:uid="{CE63A1A8-32E0-46AC-AFA3-31064E0265B0}"/>
    <cellStyle name="Currency 5 3 2 2 2 2 2 2" xfId="8044" xr:uid="{38E1E5D6-A086-41A7-B2E8-967791B8DB11}"/>
    <cellStyle name="Currency 5 3 2 2 2 2 3" xfId="5899" xr:uid="{74C830B1-F746-428F-9981-995EC681A52A}"/>
    <cellStyle name="Currency 5 3 2 2 2 2 4" xfId="1596" xr:uid="{0323189F-182D-4A9D-A5E1-5A533DCC65D0}"/>
    <cellStyle name="Currency 5 3 2 2 2 3" xfId="2010" xr:uid="{0F4BD990-9094-49B4-8A34-1D1DC898A03C}"/>
    <cellStyle name="Currency 5 3 2 2 2 3 2" xfId="4239" xr:uid="{35332DEC-E585-4C12-8D0C-1B49E5BF7A5B}"/>
    <cellStyle name="Currency 5 3 2 2 2 3 2 2" xfId="8457" xr:uid="{D020513B-3674-4ADD-ABE6-81079A59D0F2}"/>
    <cellStyle name="Currency 5 3 2 2 2 3 3" xfId="6312" xr:uid="{29775367-39BA-45A0-AC7E-0EB7A0BB2A0A}"/>
    <cellStyle name="Currency 5 3 2 2 2 4" xfId="2423" xr:uid="{08462A34-73B4-4216-9695-603C6CCE5BF1}"/>
    <cellStyle name="Currency 5 3 2 2 2 4 2" xfId="4652" xr:uid="{807E3884-3FFA-4EB7-91C6-CA57BE3785A2}"/>
    <cellStyle name="Currency 5 3 2 2 2 4 2 2" xfId="8870" xr:uid="{9CA562AA-6CC6-45D1-AA6F-A1050AB83164}"/>
    <cellStyle name="Currency 5 3 2 2 2 4 3" xfId="6725" xr:uid="{71031523-9011-4416-8470-D16DBB98913C}"/>
    <cellStyle name="Currency 5 3 2 2 2 5" xfId="2836" xr:uid="{35A868C7-3C06-49AF-AAE6-B65374B05B5F}"/>
    <cellStyle name="Currency 5 3 2 2 2 5 2" xfId="5065" xr:uid="{34C3A960-009F-4F4E-9A98-D601500BE78A}"/>
    <cellStyle name="Currency 5 3 2 2 2 5 2 2" xfId="9283" xr:uid="{41FCEA76-75F5-46D7-B457-D045FBAEAFD5}"/>
    <cellStyle name="Currency 5 3 2 2 2 5 3" xfId="7138" xr:uid="{6FDD725E-F86B-4B19-8AC9-A9EA0C1CE596}"/>
    <cellStyle name="Currency 5 3 2 2 2 6" xfId="3271" xr:uid="{2704E42F-9FAA-4C1E-83E5-20FCABF52DF7}"/>
    <cellStyle name="Currency 5 3 2 2 2 6 2" xfId="7551" xr:uid="{DC9714C4-C312-4B0B-AAEB-F6FA55220116}"/>
    <cellStyle name="Currency 5 3 2 2 2 7" xfId="3568" xr:uid="{33FDED08-1E87-4203-8062-60894C97E458}"/>
    <cellStyle name="Currency 5 3 2 2 2 8" xfId="3649" xr:uid="{0680605F-A778-439F-BC0B-62CE73DE66CE}"/>
    <cellStyle name="Currency 5 3 2 2 2 8 2" xfId="7868" xr:uid="{4947233B-94E2-4B27-AC10-B6DABBC8723E}"/>
    <cellStyle name="Currency 5 3 2 2 2 9" xfId="5485" xr:uid="{17CC1135-0C03-4A3D-BBDC-0FD0F7A96E07}"/>
    <cellStyle name="Currency 5 3 2 2 3" xfId="744" xr:uid="{00000000-0005-0000-0000-00007B010000}"/>
    <cellStyle name="Currency 5 3 2 2 3 2" xfId="3825" xr:uid="{8B0F9F74-1B9C-4BAE-917D-D3A07EBABBC9}"/>
    <cellStyle name="Currency 5 3 2 2 3 2 2" xfId="8043" xr:uid="{79C3799B-DE60-4C58-8D23-2A5D9E1B486A}"/>
    <cellStyle name="Currency 5 3 2 2 3 3" xfId="5898" xr:uid="{5969FF61-5A88-43B2-8E53-36E219F2F242}"/>
    <cellStyle name="Currency 5 3 2 2 3 4" xfId="1595" xr:uid="{2EC9DD44-E58B-4E30-9FD3-15FC009E94FA}"/>
    <cellStyle name="Currency 5 3 2 2 4" xfId="2009" xr:uid="{DEAB7F7E-2B1F-4BEE-B643-5237A2CF66C2}"/>
    <cellStyle name="Currency 5 3 2 2 4 2" xfId="4238" xr:uid="{4861F341-C85B-489D-9059-42532B0DBE43}"/>
    <cellStyle name="Currency 5 3 2 2 4 2 2" xfId="8456" xr:uid="{2B0360B5-6C46-405C-BB24-02FB393F9551}"/>
    <cellStyle name="Currency 5 3 2 2 4 3" xfId="6311" xr:uid="{045225D4-5254-4D4B-BCFB-6773454CF714}"/>
    <cellStyle name="Currency 5 3 2 2 5" xfId="2422" xr:uid="{9C3EBF47-EACC-4AB2-98B8-43C70B56FB6C}"/>
    <cellStyle name="Currency 5 3 2 2 5 2" xfId="4651" xr:uid="{980ECC59-69A2-4E42-8B95-D6238AB4765B}"/>
    <cellStyle name="Currency 5 3 2 2 5 2 2" xfId="8869" xr:uid="{E1A87B8C-B9BF-46D1-8024-7F2C61CD4260}"/>
    <cellStyle name="Currency 5 3 2 2 5 3" xfId="6724" xr:uid="{1A7E3713-B9DB-4AFB-8353-B036716EDFEC}"/>
    <cellStyle name="Currency 5 3 2 2 6" xfId="2835" xr:uid="{8F4BA9D0-A8BF-4A5A-8BC6-26B12F4F3475}"/>
    <cellStyle name="Currency 5 3 2 2 6 2" xfId="5064" xr:uid="{E71C12E0-427B-40BA-84BE-0A31C75FDFD2}"/>
    <cellStyle name="Currency 5 3 2 2 6 2 2" xfId="9282" xr:uid="{8859E792-BB0E-4E58-B260-F8A41C9BADD5}"/>
    <cellStyle name="Currency 5 3 2 2 6 3" xfId="7137" xr:uid="{E5806DEA-8360-47D7-AFEC-CF7D4D86B409}"/>
    <cellStyle name="Currency 5 3 2 2 7" xfId="3270" xr:uid="{E5DB5602-57FC-49EE-B158-254B3141AD48}"/>
    <cellStyle name="Currency 5 3 2 2 7 2" xfId="7550" xr:uid="{59CD8801-6170-480D-A5DB-BFA6817EAE31}"/>
    <cellStyle name="Currency 5 3 2 2 8" xfId="3567" xr:uid="{70D9BB59-C40C-44C2-A9A8-17971F046F84}"/>
    <cellStyle name="Currency 5 3 2 2 9" xfId="3648" xr:uid="{39D0C5E0-0873-4454-ACF8-A22CB90332CA}"/>
    <cellStyle name="Currency 5 3 2 2 9 2" xfId="7867" xr:uid="{F6FF3341-C4F1-42A1-B27E-D4E42E28076A}"/>
    <cellStyle name="Currency 5 3 2 3" xfId="214" xr:uid="{00000000-0005-0000-0000-00007C010000}"/>
    <cellStyle name="Currency 5 3 2 3 10" xfId="1182" xr:uid="{5FDBAE2A-44FE-4003-96FE-83E197F7F0BD}"/>
    <cellStyle name="Currency 5 3 2 3 2" xfId="746" xr:uid="{00000000-0005-0000-0000-00007D010000}"/>
    <cellStyle name="Currency 5 3 2 3 2 2" xfId="3827" xr:uid="{CAC940A2-BD20-40CC-8F72-3E346F7998B4}"/>
    <cellStyle name="Currency 5 3 2 3 2 2 2" xfId="8045" xr:uid="{4AE8F37B-3151-4702-A6D7-F268B8EA0B84}"/>
    <cellStyle name="Currency 5 3 2 3 2 3" xfId="5900" xr:uid="{B4E85307-A1F8-4F5A-BB6A-CBDD8028C7AA}"/>
    <cellStyle name="Currency 5 3 2 3 2 4" xfId="1597" xr:uid="{DB551E59-1484-4BDA-8B60-3B39FF650A11}"/>
    <cellStyle name="Currency 5 3 2 3 3" xfId="2011" xr:uid="{331BA313-183E-4B47-B2BD-5C656DBA62A6}"/>
    <cellStyle name="Currency 5 3 2 3 3 2" xfId="4240" xr:uid="{4126AF7A-BFB2-474A-A71F-39C3E81422C0}"/>
    <cellStyle name="Currency 5 3 2 3 3 2 2" xfId="8458" xr:uid="{978D60ED-0CE6-49EC-A63D-B1744DA3BE88}"/>
    <cellStyle name="Currency 5 3 2 3 3 3" xfId="6313" xr:uid="{5DCA3FDE-42BD-43E0-BF35-E0EBA59F4F76}"/>
    <cellStyle name="Currency 5 3 2 3 4" xfId="2424" xr:uid="{694D55B0-20E2-48D5-84CA-278F3144B119}"/>
    <cellStyle name="Currency 5 3 2 3 4 2" xfId="4653" xr:uid="{5CECC463-46DD-4C4B-ABD9-7ABD5449B655}"/>
    <cellStyle name="Currency 5 3 2 3 4 2 2" xfId="8871" xr:uid="{28B4BD6A-5A5E-456C-B19A-87BC6E4A9BF8}"/>
    <cellStyle name="Currency 5 3 2 3 4 3" xfId="6726" xr:uid="{4B9D5094-24CE-4DE1-9813-A548A584AAA1}"/>
    <cellStyle name="Currency 5 3 2 3 5" xfId="2837" xr:uid="{2C8BF61E-0157-4D63-876A-089ABD56EC62}"/>
    <cellStyle name="Currency 5 3 2 3 5 2" xfId="5066" xr:uid="{668C9373-C667-452D-BEBC-502E1AC59EF8}"/>
    <cellStyle name="Currency 5 3 2 3 5 2 2" xfId="9284" xr:uid="{336BFF85-CE13-49B6-BBD6-30E9ACF31E47}"/>
    <cellStyle name="Currency 5 3 2 3 5 3" xfId="7139" xr:uid="{34CA235E-4151-4CB8-A7D5-F59E90DDC520}"/>
    <cellStyle name="Currency 5 3 2 3 6" xfId="3272" xr:uid="{CBEBAE12-8EAF-4531-90C6-AE52F8B026F7}"/>
    <cellStyle name="Currency 5 3 2 3 6 2" xfId="7552" xr:uid="{4CC577BD-5BF4-4723-8235-D176872E0423}"/>
    <cellStyle name="Currency 5 3 2 3 7" xfId="3569" xr:uid="{3A6661D1-443F-44D2-A4B2-A865BA385093}"/>
    <cellStyle name="Currency 5 3 2 3 8" xfId="3650" xr:uid="{C955BD39-6EFC-46BA-A263-D06BBEF87A01}"/>
    <cellStyle name="Currency 5 3 2 3 8 2" xfId="7869" xr:uid="{3250A643-4D53-4E1A-983E-A3B2116501DC}"/>
    <cellStyle name="Currency 5 3 2 3 9" xfId="5486" xr:uid="{2DA3C5A1-7F29-409C-909E-BA88660A374B}"/>
    <cellStyle name="Currency 5 3 2 4" xfId="743" xr:uid="{00000000-0005-0000-0000-00007E010000}"/>
    <cellStyle name="Currency 5 3 2 4 2" xfId="3824" xr:uid="{47E4C333-5062-46F8-AA5A-077D6DA6370B}"/>
    <cellStyle name="Currency 5 3 2 4 2 2" xfId="8042" xr:uid="{CDF3753C-E27B-4238-AEAA-C4A051BB26F6}"/>
    <cellStyle name="Currency 5 3 2 4 3" xfId="5897" xr:uid="{5771C1C0-3B9F-4AC1-8A96-D95A42C92B62}"/>
    <cellStyle name="Currency 5 3 2 4 4" xfId="1594" xr:uid="{798CF21F-DCF5-4614-8978-63E872011475}"/>
    <cellStyle name="Currency 5 3 2 5" xfId="2008" xr:uid="{60A2B3D1-3EDF-41A9-B5F5-7B20FF6F9F88}"/>
    <cellStyle name="Currency 5 3 2 5 2" xfId="4237" xr:uid="{D0975282-D10A-4F9D-ABFB-4D1A856D1D3A}"/>
    <cellStyle name="Currency 5 3 2 5 2 2" xfId="8455" xr:uid="{DEC195C9-42EB-485C-AD68-867CC440DE58}"/>
    <cellStyle name="Currency 5 3 2 5 3" xfId="6310" xr:uid="{3597C1ED-5245-4C7C-A6FB-4F51FB16DC27}"/>
    <cellStyle name="Currency 5 3 2 6" xfId="2421" xr:uid="{4EE3C6CA-57BD-48A0-AA25-3FF4B14F0C1A}"/>
    <cellStyle name="Currency 5 3 2 6 2" xfId="4650" xr:uid="{A1E2EE61-8F16-423A-84EA-D47F906240AC}"/>
    <cellStyle name="Currency 5 3 2 6 2 2" xfId="8868" xr:uid="{7B41F70A-CC82-49A8-AB22-674716C752C8}"/>
    <cellStyle name="Currency 5 3 2 6 3" xfId="6723" xr:uid="{2E61AD31-4452-44D2-AB20-0DE2A30FD452}"/>
    <cellStyle name="Currency 5 3 2 7" xfId="2834" xr:uid="{871D2E59-91BE-48B4-B809-85284FCC4DE4}"/>
    <cellStyle name="Currency 5 3 2 7 2" xfId="5063" xr:uid="{D6042699-7936-497B-AAFF-339A531037F7}"/>
    <cellStyle name="Currency 5 3 2 7 2 2" xfId="9281" xr:uid="{7E99E1E8-6040-4E7E-A7BD-298BABD35EEB}"/>
    <cellStyle name="Currency 5 3 2 7 3" xfId="7136" xr:uid="{BFAA37E1-8A55-4720-BE27-7125F3A701B2}"/>
    <cellStyle name="Currency 5 3 2 8" xfId="3269" xr:uid="{D71441E2-D8C8-499C-BA9F-A738DFACAB5B}"/>
    <cellStyle name="Currency 5 3 2 8 2" xfId="7549" xr:uid="{7980E7EC-BCDF-4CE0-AB11-09C9F288D0B0}"/>
    <cellStyle name="Currency 5 3 2 9" xfId="3566" xr:uid="{051B4CC8-2945-4D99-892B-21BDFE59A9E0}"/>
    <cellStyle name="Currency 5 3 3" xfId="215" xr:uid="{00000000-0005-0000-0000-00007F010000}"/>
    <cellStyle name="Currency 5 3 3 10" xfId="5487" xr:uid="{CE3FBAD1-1180-4EF6-A7AD-11C9511A5CAD}"/>
    <cellStyle name="Currency 5 3 3 11" xfId="1183" xr:uid="{77392BAE-E3A6-4F1F-82C1-AE2760A78A1B}"/>
    <cellStyle name="Currency 5 3 3 2" xfId="216" xr:uid="{00000000-0005-0000-0000-000080010000}"/>
    <cellStyle name="Currency 5 3 3 2 10" xfId="1184" xr:uid="{818F0D3D-C1CC-4455-9217-6637DC9695CD}"/>
    <cellStyle name="Currency 5 3 3 2 2" xfId="748" xr:uid="{00000000-0005-0000-0000-000081010000}"/>
    <cellStyle name="Currency 5 3 3 2 2 2" xfId="3829" xr:uid="{99028EF2-9F65-49B3-88C8-1DCCF947E633}"/>
    <cellStyle name="Currency 5 3 3 2 2 2 2" xfId="8047" xr:uid="{FE41B7F8-28EE-44E4-BB73-F8FB71ACE31E}"/>
    <cellStyle name="Currency 5 3 3 2 2 3" xfId="5902" xr:uid="{939BF659-F248-488B-9E78-E77ED5CAE045}"/>
    <cellStyle name="Currency 5 3 3 2 2 4" xfId="1599" xr:uid="{BC2FDCB9-ED30-4C71-89AD-5A77CA8585A7}"/>
    <cellStyle name="Currency 5 3 3 2 3" xfId="2013" xr:uid="{48FC1F0F-BD26-43CC-B77E-E37C04A713A9}"/>
    <cellStyle name="Currency 5 3 3 2 3 2" xfId="4242" xr:uid="{F140DD3E-61B6-49E5-B005-12AC4868E5A6}"/>
    <cellStyle name="Currency 5 3 3 2 3 2 2" xfId="8460" xr:uid="{8EF5BD42-D5EC-4F0A-815A-7C5AE8C2521C}"/>
    <cellStyle name="Currency 5 3 3 2 3 3" xfId="6315" xr:uid="{C57C7A7D-3FE6-4D79-9227-BE78875212CD}"/>
    <cellStyle name="Currency 5 3 3 2 4" xfId="2426" xr:uid="{0BA4D30B-BB79-414F-A45D-E7FF07410A61}"/>
    <cellStyle name="Currency 5 3 3 2 4 2" xfId="4655" xr:uid="{F2F144D7-B054-4BB4-BF03-6BA9E6E1C837}"/>
    <cellStyle name="Currency 5 3 3 2 4 2 2" xfId="8873" xr:uid="{D566E449-14A1-4FED-B11C-F3DB64AB6E78}"/>
    <cellStyle name="Currency 5 3 3 2 4 3" xfId="6728" xr:uid="{B0B2F394-8AFA-4CD2-AEE4-72AF95709B87}"/>
    <cellStyle name="Currency 5 3 3 2 5" xfId="2839" xr:uid="{B8502321-6B23-4F26-866D-BE4CF85C6F3C}"/>
    <cellStyle name="Currency 5 3 3 2 5 2" xfId="5068" xr:uid="{52B1684C-4769-45C5-985A-26B3EDAD35C8}"/>
    <cellStyle name="Currency 5 3 3 2 5 2 2" xfId="9286" xr:uid="{DB1F1F37-B968-48A3-A642-C8BA6D46A5E8}"/>
    <cellStyle name="Currency 5 3 3 2 5 3" xfId="7141" xr:uid="{B0F1072E-B6FC-4A54-8ED0-644BE2A2BD03}"/>
    <cellStyle name="Currency 5 3 3 2 6" xfId="3274" xr:uid="{504CA718-E42A-4CB7-8B58-76295875C758}"/>
    <cellStyle name="Currency 5 3 3 2 6 2" xfId="7554" xr:uid="{E9FBF7C5-FDDA-42C2-81A3-18786916A532}"/>
    <cellStyle name="Currency 5 3 3 2 7" xfId="3571" xr:uid="{DF39BE56-6D39-4940-9D93-1A03ED74179A}"/>
    <cellStyle name="Currency 5 3 3 2 8" xfId="3652" xr:uid="{83AECA3F-EF88-48CD-9BF5-49880218D28B}"/>
    <cellStyle name="Currency 5 3 3 2 8 2" xfId="7871" xr:uid="{3C335C53-B541-476C-A17F-3CE1806C586C}"/>
    <cellStyle name="Currency 5 3 3 2 9" xfId="5488" xr:uid="{9251B716-A94A-4731-BC5E-FE689DBB8273}"/>
    <cellStyle name="Currency 5 3 3 3" xfId="747" xr:uid="{00000000-0005-0000-0000-000082010000}"/>
    <cellStyle name="Currency 5 3 3 3 2" xfId="3828" xr:uid="{3D8DFE0E-68F5-4C0D-83B1-CA31BF3A892B}"/>
    <cellStyle name="Currency 5 3 3 3 2 2" xfId="8046" xr:uid="{DA43DFEA-7DF8-46F8-9D12-83FBF61EFF57}"/>
    <cellStyle name="Currency 5 3 3 3 3" xfId="5901" xr:uid="{13065FFF-6A6A-4717-875B-CEC6E10C32E4}"/>
    <cellStyle name="Currency 5 3 3 3 4" xfId="1598" xr:uid="{5C59E457-FD12-4C78-ABA0-5970CFD04653}"/>
    <cellStyle name="Currency 5 3 3 4" xfId="2012" xr:uid="{57054CF1-6DA3-429E-8C7C-7BC14E2CF955}"/>
    <cellStyle name="Currency 5 3 3 4 2" xfId="4241" xr:uid="{1156AC9E-ED7E-4192-B036-96F2199728A3}"/>
    <cellStyle name="Currency 5 3 3 4 2 2" xfId="8459" xr:uid="{6063B64C-B2BC-4BB5-A6C3-5CDE796E3689}"/>
    <cellStyle name="Currency 5 3 3 4 3" xfId="6314" xr:uid="{40C30F0F-C33E-4322-B59B-88DCA2186AF7}"/>
    <cellStyle name="Currency 5 3 3 5" xfId="2425" xr:uid="{7E021818-90E0-4C27-BDBD-BE83F79B3A5E}"/>
    <cellStyle name="Currency 5 3 3 5 2" xfId="4654" xr:uid="{7E6A1BF9-78BD-4AA2-8D6C-D1A81AC28E35}"/>
    <cellStyle name="Currency 5 3 3 5 2 2" xfId="8872" xr:uid="{91B9EFE1-4A08-4706-A8FC-9F3D706B6160}"/>
    <cellStyle name="Currency 5 3 3 5 3" xfId="6727" xr:uid="{3D9DE059-5375-4210-A146-5CE177E79914}"/>
    <cellStyle name="Currency 5 3 3 6" xfId="2838" xr:uid="{21CD6647-9A9A-477E-BC9A-FFD5443B1A7A}"/>
    <cellStyle name="Currency 5 3 3 6 2" xfId="5067" xr:uid="{47B746A2-A273-4C86-9A34-FF13D673A166}"/>
    <cellStyle name="Currency 5 3 3 6 2 2" xfId="9285" xr:uid="{E0088A00-93BF-4BDF-BF72-F01DEB330E86}"/>
    <cellStyle name="Currency 5 3 3 6 3" xfId="7140" xr:uid="{FE39008B-A3EF-46B3-AFE9-8BD0B495346D}"/>
    <cellStyle name="Currency 5 3 3 7" xfId="3273" xr:uid="{85019D51-C481-4502-A7F4-E3D134CB618A}"/>
    <cellStyle name="Currency 5 3 3 7 2" xfId="7553" xr:uid="{9CE99470-7426-4617-89B4-892A36320BD0}"/>
    <cellStyle name="Currency 5 3 3 8" xfId="3570" xr:uid="{60B4EBC4-037A-442D-A12F-74C34E51D516}"/>
    <cellStyle name="Currency 5 3 3 9" xfId="3651" xr:uid="{5670DD47-7150-4A22-8362-2084042AFC45}"/>
    <cellStyle name="Currency 5 3 3 9 2" xfId="7870" xr:uid="{71DD1A5A-F6EF-456E-9A38-6D2B59FD542B}"/>
    <cellStyle name="Currency 5 3 4" xfId="217" xr:uid="{00000000-0005-0000-0000-000083010000}"/>
    <cellStyle name="Currency 5 3 4 10" xfId="1185" xr:uid="{DC6FC708-8D31-45B0-99F7-6762533F61A9}"/>
    <cellStyle name="Currency 5 3 4 2" xfId="749" xr:uid="{00000000-0005-0000-0000-000084010000}"/>
    <cellStyle name="Currency 5 3 4 2 2" xfId="3830" xr:uid="{300E1A51-2366-48E8-BC08-3075BC845BB6}"/>
    <cellStyle name="Currency 5 3 4 2 2 2" xfId="8048" xr:uid="{9BE51C80-E443-467A-A580-AC16E96ED9B7}"/>
    <cellStyle name="Currency 5 3 4 2 3" xfId="5903" xr:uid="{9EBFEB39-F492-450A-AC37-1703F7E41DCE}"/>
    <cellStyle name="Currency 5 3 4 2 4" xfId="1600" xr:uid="{1FBD38D1-4276-4705-8998-8446D979164D}"/>
    <cellStyle name="Currency 5 3 4 3" xfId="2014" xr:uid="{DA418A1A-D5C0-4823-9CAD-0457063365FB}"/>
    <cellStyle name="Currency 5 3 4 3 2" xfId="4243" xr:uid="{F4DD4532-8204-41D3-A112-ABE21BE2EC92}"/>
    <cellStyle name="Currency 5 3 4 3 2 2" xfId="8461" xr:uid="{E9B1E82D-F3BA-48E3-B1D1-5C058E906C5B}"/>
    <cellStyle name="Currency 5 3 4 3 3" xfId="6316" xr:uid="{886F4F00-9C33-456C-B867-BD96BE65DA89}"/>
    <cellStyle name="Currency 5 3 4 4" xfId="2427" xr:uid="{15A93B98-719C-427B-AFB9-D99ADBA4E136}"/>
    <cellStyle name="Currency 5 3 4 4 2" xfId="4656" xr:uid="{840F14BD-38F6-4BA0-B3C8-0B5F7FD2C6BB}"/>
    <cellStyle name="Currency 5 3 4 4 2 2" xfId="8874" xr:uid="{F6238F94-CFD6-4E24-9F29-8A06944D3ACB}"/>
    <cellStyle name="Currency 5 3 4 4 3" xfId="6729" xr:uid="{E9C8F0F1-EA16-40A9-8D0F-95A073C8A633}"/>
    <cellStyle name="Currency 5 3 4 5" xfId="2840" xr:uid="{0FFD5161-726C-4C9A-9A42-8084948A940B}"/>
    <cellStyle name="Currency 5 3 4 5 2" xfId="5069" xr:uid="{BFA400C2-2783-4099-A9F5-883B789BED86}"/>
    <cellStyle name="Currency 5 3 4 5 2 2" xfId="9287" xr:uid="{80ADC866-4AC0-4651-8419-125E89557338}"/>
    <cellStyle name="Currency 5 3 4 5 3" xfId="7142" xr:uid="{70C855D1-6141-4DC3-89CC-CDCF6CE7E833}"/>
    <cellStyle name="Currency 5 3 4 6" xfId="3275" xr:uid="{2C2F8426-BF1C-4BDB-ADEF-249FF5013583}"/>
    <cellStyle name="Currency 5 3 4 6 2" xfId="7555" xr:uid="{B1D66D31-093D-484A-99DE-218831D94C93}"/>
    <cellStyle name="Currency 5 3 4 7" xfId="3572" xr:uid="{EACAA6A6-994D-4AFE-ACD2-605A1A938A25}"/>
    <cellStyle name="Currency 5 3 4 8" xfId="3653" xr:uid="{CEE12DAE-983F-4093-AEAF-1B1A9112C0DE}"/>
    <cellStyle name="Currency 5 3 4 8 2" xfId="7872" xr:uid="{3249294F-6803-4088-A41C-C4B3616A8BAD}"/>
    <cellStyle name="Currency 5 3 4 9" xfId="5489" xr:uid="{07685743-F90F-48E9-A310-3970FD169E76}"/>
    <cellStyle name="Currency 5 3 5" xfId="218" xr:uid="{00000000-0005-0000-0000-000085010000}"/>
    <cellStyle name="Currency 5 3 5 10" xfId="1186" xr:uid="{59F53530-04CA-435A-A0BE-0ACFA724EF5F}"/>
    <cellStyle name="Currency 5 3 5 2" xfId="750" xr:uid="{00000000-0005-0000-0000-000086010000}"/>
    <cellStyle name="Currency 5 3 5 2 2" xfId="3831" xr:uid="{A1A09C99-4666-4C8E-A05E-2DD7F853E9FE}"/>
    <cellStyle name="Currency 5 3 5 2 2 2" xfId="8049" xr:uid="{C81755F8-5515-4CE8-9EA0-95761751C4E9}"/>
    <cellStyle name="Currency 5 3 5 2 3" xfId="5904" xr:uid="{8E62733C-DF5C-4E24-BF9E-4D17B5A0C9DD}"/>
    <cellStyle name="Currency 5 3 5 2 4" xfId="1601" xr:uid="{E800CD12-33B1-4E05-93B6-BFF734BFBAD9}"/>
    <cellStyle name="Currency 5 3 5 3" xfId="2015" xr:uid="{63FAE509-3195-4942-8DDE-A2FA716E223D}"/>
    <cellStyle name="Currency 5 3 5 3 2" xfId="4244" xr:uid="{727B1EF9-DBDC-4ED4-A4AD-8D1D0E3994C6}"/>
    <cellStyle name="Currency 5 3 5 3 2 2" xfId="8462" xr:uid="{BB163063-BC62-4320-B30C-1CC6DA80BD4A}"/>
    <cellStyle name="Currency 5 3 5 3 3" xfId="6317" xr:uid="{2ED5A46B-6631-46EC-87DF-724D101C65BD}"/>
    <cellStyle name="Currency 5 3 5 4" xfId="2428" xr:uid="{973E28C5-46D8-489E-AD8D-40145E53FDF4}"/>
    <cellStyle name="Currency 5 3 5 4 2" xfId="4657" xr:uid="{C3C2A253-BF83-4CA4-A04B-1A443F501990}"/>
    <cellStyle name="Currency 5 3 5 4 2 2" xfId="8875" xr:uid="{6BDAD265-3C31-4CC1-8D9E-E55A85DDBC57}"/>
    <cellStyle name="Currency 5 3 5 4 3" xfId="6730" xr:uid="{7EA3FDC3-7D0B-4772-BCDD-61E859191C1E}"/>
    <cellStyle name="Currency 5 3 5 5" xfId="2841" xr:uid="{9A7FECAA-EF08-4965-8AF6-402849E49206}"/>
    <cellStyle name="Currency 5 3 5 5 2" xfId="5070" xr:uid="{386C1D90-2101-4A84-B1CE-3203AA91B0D0}"/>
    <cellStyle name="Currency 5 3 5 5 2 2" xfId="9288" xr:uid="{6D3A7D6F-D463-4610-BB43-F2C4DF458DE2}"/>
    <cellStyle name="Currency 5 3 5 5 3" xfId="7143" xr:uid="{4A4391E3-D2C8-44BA-85CF-2A795960223C}"/>
    <cellStyle name="Currency 5 3 5 6" xfId="3276" xr:uid="{69F7FE14-A92F-40BF-9B0B-D4ECBF0BCB0C}"/>
    <cellStyle name="Currency 5 3 5 6 2" xfId="7556" xr:uid="{BE65D03E-804D-4F63-892B-E41640F74761}"/>
    <cellStyle name="Currency 5 3 5 7" xfId="3573" xr:uid="{2A9AAA71-CAC8-4B79-A505-90E0606ACF42}"/>
    <cellStyle name="Currency 5 3 5 8" xfId="3654" xr:uid="{3D0F4C1A-878C-4DCF-8938-6163C8140350}"/>
    <cellStyle name="Currency 5 3 5 8 2" xfId="7873" xr:uid="{25246ABD-2E54-4456-9B7A-D45828BC863E}"/>
    <cellStyle name="Currency 5 3 5 9" xfId="5490" xr:uid="{C20BC008-B05A-4EFA-A3B9-213BA5ADA779}"/>
    <cellStyle name="Currency 5 4" xfId="219" xr:uid="{00000000-0005-0000-0000-000087010000}"/>
    <cellStyle name="Currency 5 4 2" xfId="751" xr:uid="{00000000-0005-0000-0000-000088010000}"/>
    <cellStyle name="Currency 5 5" xfId="220" xr:uid="{00000000-0005-0000-0000-000089010000}"/>
    <cellStyle name="Currency 5 5 10" xfId="5491" xr:uid="{418C55C8-847C-4D28-B6EC-69909BAE9AA3}"/>
    <cellStyle name="Currency 5 5 11" xfId="1187" xr:uid="{27D0BF76-D6F9-4A66-AF36-E47E25A4B3C8}"/>
    <cellStyle name="Currency 5 5 2" xfId="221" xr:uid="{00000000-0005-0000-0000-00008A010000}"/>
    <cellStyle name="Currency 5 5 2 10" xfId="1188" xr:uid="{8DE783C0-1DF6-44EC-88AD-E2862CCA7A14}"/>
    <cellStyle name="Currency 5 5 2 2" xfId="753" xr:uid="{00000000-0005-0000-0000-00008B010000}"/>
    <cellStyle name="Currency 5 5 2 2 2" xfId="3833" xr:uid="{824F5F52-4C50-423D-9A92-78EC6975EB7A}"/>
    <cellStyle name="Currency 5 5 2 2 2 2" xfId="8051" xr:uid="{5FE9C10C-457D-40C3-B0B3-F1A7D5B01D05}"/>
    <cellStyle name="Currency 5 5 2 2 3" xfId="5906" xr:uid="{520394E7-DCB7-4340-BA19-80B5F37AA32B}"/>
    <cellStyle name="Currency 5 5 2 2 4" xfId="1603" xr:uid="{29946E71-221F-40BC-B66E-D57A71606876}"/>
    <cellStyle name="Currency 5 5 2 3" xfId="2017" xr:uid="{A9F8B25D-8F80-4D80-BA91-A22B9DE9701D}"/>
    <cellStyle name="Currency 5 5 2 3 2" xfId="4246" xr:uid="{DE9C0FE5-1CE5-486B-9230-2E26A3F38B18}"/>
    <cellStyle name="Currency 5 5 2 3 2 2" xfId="8464" xr:uid="{AA81038F-5BD8-41B0-9B86-67D4BFF60865}"/>
    <cellStyle name="Currency 5 5 2 3 3" xfId="6319" xr:uid="{2B88ACB2-FA29-4AEB-89D9-9671CB6074FE}"/>
    <cellStyle name="Currency 5 5 2 4" xfId="2430" xr:uid="{22FC7853-066C-4398-B163-B8B8603A69AE}"/>
    <cellStyle name="Currency 5 5 2 4 2" xfId="4659" xr:uid="{E97F8FA9-D847-45D9-8A27-C6BE9C51E495}"/>
    <cellStyle name="Currency 5 5 2 4 2 2" xfId="8877" xr:uid="{BD358D99-7E34-435D-AA8F-2F41B201518C}"/>
    <cellStyle name="Currency 5 5 2 4 3" xfId="6732" xr:uid="{A580F928-A871-427B-BD47-A131257F48E8}"/>
    <cellStyle name="Currency 5 5 2 5" xfId="2843" xr:uid="{C6AAF559-4EB9-45C1-9CCC-FA9B9EC4EF31}"/>
    <cellStyle name="Currency 5 5 2 5 2" xfId="5072" xr:uid="{78D1ED03-14D2-4BBA-8BEC-89103F808D21}"/>
    <cellStyle name="Currency 5 5 2 5 2 2" xfId="9290" xr:uid="{2226CD9A-A5FE-4FDA-B471-83065E1F0678}"/>
    <cellStyle name="Currency 5 5 2 5 3" xfId="7145" xr:uid="{8894662D-BB72-4C80-900A-37CF34238573}"/>
    <cellStyle name="Currency 5 5 2 6" xfId="3278" xr:uid="{1A78C6DE-8F46-4310-9B65-F45ECCDB07B9}"/>
    <cellStyle name="Currency 5 5 2 6 2" xfId="7558" xr:uid="{058DE995-19A3-4658-B404-494105577ED3}"/>
    <cellStyle name="Currency 5 5 2 7" xfId="3575" xr:uid="{384F0B65-FFE1-4326-8922-EA462D812B6F}"/>
    <cellStyle name="Currency 5 5 2 8" xfId="3656" xr:uid="{4E22BDA4-6027-4660-8296-8242378EFF73}"/>
    <cellStyle name="Currency 5 5 2 8 2" xfId="7875" xr:uid="{C3D47710-4F01-47C3-9856-0B548584D69D}"/>
    <cellStyle name="Currency 5 5 2 9" xfId="5492" xr:uid="{74A31824-B89D-4E76-BAEC-F372840B439F}"/>
    <cellStyle name="Currency 5 5 3" xfId="752" xr:uid="{00000000-0005-0000-0000-00008C010000}"/>
    <cellStyle name="Currency 5 5 3 2" xfId="3832" xr:uid="{8AFDFB24-94A1-415A-9E01-EFC4C573C0E3}"/>
    <cellStyle name="Currency 5 5 3 2 2" xfId="8050" xr:uid="{D7866BAF-11F8-4315-A10E-DE928A1FF15F}"/>
    <cellStyle name="Currency 5 5 3 3" xfId="5905" xr:uid="{17183AAE-6B44-4009-8EBD-ED1C62F61A5A}"/>
    <cellStyle name="Currency 5 5 3 4" xfId="1602" xr:uid="{FA68E7CC-8340-4E2F-B40B-14E963F58D0E}"/>
    <cellStyle name="Currency 5 5 4" xfId="2016" xr:uid="{88D7DD6C-33A0-45E9-81E6-AD4FCA2A3D5B}"/>
    <cellStyle name="Currency 5 5 4 2" xfId="4245" xr:uid="{2BBF4130-BCD8-409B-9825-8E8D1F9551DD}"/>
    <cellStyle name="Currency 5 5 4 2 2" xfId="8463" xr:uid="{EB3C65E2-AD70-4AC7-9E17-4426924480E3}"/>
    <cellStyle name="Currency 5 5 4 3" xfId="6318" xr:uid="{26150904-7CFB-4143-A87F-57916A739349}"/>
    <cellStyle name="Currency 5 5 5" xfId="2429" xr:uid="{EA81F55B-DA29-4AAA-A648-D4BFF1CFB45E}"/>
    <cellStyle name="Currency 5 5 5 2" xfId="4658" xr:uid="{DE4AB97E-456C-471C-B822-6B92510FE6EC}"/>
    <cellStyle name="Currency 5 5 5 2 2" xfId="8876" xr:uid="{AE9E3D04-DD71-4FFC-A69C-F1CF45568A07}"/>
    <cellStyle name="Currency 5 5 5 3" xfId="6731" xr:uid="{58607704-C289-4ADF-973B-B15C85478AE5}"/>
    <cellStyle name="Currency 5 5 6" xfId="2842" xr:uid="{D7E32409-D931-4ADD-833B-F73499345E08}"/>
    <cellStyle name="Currency 5 5 6 2" xfId="5071" xr:uid="{3FACB969-67E1-4D67-AA12-54B72DDA9AD6}"/>
    <cellStyle name="Currency 5 5 6 2 2" xfId="9289" xr:uid="{C350A5B9-F585-4224-A6B8-F33F964BA7C7}"/>
    <cellStyle name="Currency 5 5 6 3" xfId="7144" xr:uid="{72D74444-B24B-4D77-A682-06A3207E5776}"/>
    <cellStyle name="Currency 5 5 7" xfId="3277" xr:uid="{544DB7DC-6ED8-4710-BD0A-62B207F30667}"/>
    <cellStyle name="Currency 5 5 7 2" xfId="7557" xr:uid="{4DAB6C30-019C-49D5-9197-7DAFCBC0E61D}"/>
    <cellStyle name="Currency 5 5 8" xfId="3574" xr:uid="{688E2D7B-29C9-478F-9488-87FBDBF64529}"/>
    <cellStyle name="Currency 5 5 9" xfId="3655" xr:uid="{D84594CE-39ED-45AA-B133-C448A73A1F28}"/>
    <cellStyle name="Currency 5 5 9 2" xfId="7874" xr:uid="{EFF8DD12-4851-4A3A-8D08-5C18E65D0330}"/>
    <cellStyle name="Currency 5 6" xfId="222" xr:uid="{00000000-0005-0000-0000-00008D010000}"/>
    <cellStyle name="Currency 5 6 10" xfId="1189" xr:uid="{875D480A-982D-4A84-923A-64BF60D375C1}"/>
    <cellStyle name="Currency 5 6 2" xfId="754" xr:uid="{00000000-0005-0000-0000-00008E010000}"/>
    <cellStyle name="Currency 5 6 2 2" xfId="3834" xr:uid="{8986C74F-17F2-47BB-83A3-48C2536B1E3F}"/>
    <cellStyle name="Currency 5 6 2 2 2" xfId="8052" xr:uid="{B5D14478-B107-4574-BA20-D8F357AE6365}"/>
    <cellStyle name="Currency 5 6 2 3" xfId="5907" xr:uid="{DCD9DDB0-49B5-472C-BB48-51B99F9C2566}"/>
    <cellStyle name="Currency 5 6 2 4" xfId="1604" xr:uid="{F21726D2-5DD9-4B3E-8BCB-E07B87910530}"/>
    <cellStyle name="Currency 5 6 3" xfId="2018" xr:uid="{A021DBDD-8CD3-414F-A04B-A6F81650BF7A}"/>
    <cellStyle name="Currency 5 6 3 2" xfId="4247" xr:uid="{72930D01-C8A2-4E75-B478-8ABABB357167}"/>
    <cellStyle name="Currency 5 6 3 2 2" xfId="8465" xr:uid="{D073F2F4-82D5-4F0F-BD13-F37065EFE3CE}"/>
    <cellStyle name="Currency 5 6 3 3" xfId="6320" xr:uid="{F526AEA5-9318-4DEC-AD64-9BC1FDC29062}"/>
    <cellStyle name="Currency 5 6 4" xfId="2431" xr:uid="{7CD7FE85-BA0F-4113-A624-B816883EA07C}"/>
    <cellStyle name="Currency 5 6 4 2" xfId="4660" xr:uid="{A82712C5-229A-4910-BC45-7B326A9F8DA0}"/>
    <cellStyle name="Currency 5 6 4 2 2" xfId="8878" xr:uid="{BF2747E7-F4D6-4747-B455-CE9684398BAF}"/>
    <cellStyle name="Currency 5 6 4 3" xfId="6733" xr:uid="{6B27CA8A-F72A-41F4-8148-CB0A02329F26}"/>
    <cellStyle name="Currency 5 6 5" xfId="2844" xr:uid="{C36BAC7E-3F01-4B81-A5F1-3FCE8763A2AF}"/>
    <cellStyle name="Currency 5 6 5 2" xfId="5073" xr:uid="{287A6F3B-F697-4F30-ACA2-1D37883B4F75}"/>
    <cellStyle name="Currency 5 6 5 2 2" xfId="9291" xr:uid="{A9CF51AA-B677-437A-9656-B91780370576}"/>
    <cellStyle name="Currency 5 6 5 3" xfId="7146" xr:uid="{1CF4FE6A-2000-450C-ADF0-AA3BA98C52FD}"/>
    <cellStyle name="Currency 5 6 6" xfId="3279" xr:uid="{D770E268-DE49-4848-9020-6E15CD3DABD4}"/>
    <cellStyle name="Currency 5 6 6 2" xfId="7559" xr:uid="{792FF98C-28B5-4384-9A0F-D533D6858A00}"/>
    <cellStyle name="Currency 5 6 7" xfId="3576" xr:uid="{55949916-9DB3-4BE3-A9EB-42469980D28A}"/>
    <cellStyle name="Currency 5 6 8" xfId="3657" xr:uid="{9463B33D-413D-494F-9242-6FF047877369}"/>
    <cellStyle name="Currency 5 6 8 2" xfId="7876" xr:uid="{20D4B083-3C59-4BAA-895A-6D690BB8851B}"/>
    <cellStyle name="Currency 5 6 9" xfId="5493" xr:uid="{890EDC00-F5D9-47B3-8E49-152088A14ECF}"/>
    <cellStyle name="Currency 5 7" xfId="223" xr:uid="{00000000-0005-0000-0000-00008F010000}"/>
    <cellStyle name="Currency 5 7 10" xfId="1190" xr:uid="{12F50564-93CF-47B5-8EEF-E8AA5A6641D4}"/>
    <cellStyle name="Currency 5 7 2" xfId="755" xr:uid="{00000000-0005-0000-0000-000090010000}"/>
    <cellStyle name="Currency 5 7 2 2" xfId="3835" xr:uid="{2CEFA16C-D868-4591-8B2B-C7207CEC06E3}"/>
    <cellStyle name="Currency 5 7 2 2 2" xfId="8053" xr:uid="{DA5817E8-E97C-418E-B736-D96780A2CAEA}"/>
    <cellStyle name="Currency 5 7 2 3" xfId="5908" xr:uid="{6D3A134B-8F2F-4478-A7BF-8F9D4267EBE5}"/>
    <cellStyle name="Currency 5 7 2 4" xfId="1605" xr:uid="{D7C9BA1E-46F0-4DC4-884D-CA5D3187CBA3}"/>
    <cellStyle name="Currency 5 7 3" xfId="2019" xr:uid="{4485575A-70DE-46FF-9DD5-62CCA63BDDB8}"/>
    <cellStyle name="Currency 5 7 3 2" xfId="4248" xr:uid="{0D3CADC2-5EE1-43E2-8ABB-D65D50A389BE}"/>
    <cellStyle name="Currency 5 7 3 2 2" xfId="8466" xr:uid="{59440A83-4F20-48DE-B8BF-E876CD1524DC}"/>
    <cellStyle name="Currency 5 7 3 3" xfId="6321" xr:uid="{B9B82EC8-E78D-4520-A893-F5409BA9660D}"/>
    <cellStyle name="Currency 5 7 4" xfId="2432" xr:uid="{95534142-B15A-4FC3-A82B-303D840D6AB1}"/>
    <cellStyle name="Currency 5 7 4 2" xfId="4661" xr:uid="{CE4C8C14-337F-4A46-B57C-29EBDB4A02C0}"/>
    <cellStyle name="Currency 5 7 4 2 2" xfId="8879" xr:uid="{7A52F6DD-5A5A-4AC2-A706-8435B5867B56}"/>
    <cellStyle name="Currency 5 7 4 3" xfId="6734" xr:uid="{036DE4BE-F731-4790-8244-1028B89F09AC}"/>
    <cellStyle name="Currency 5 7 5" xfId="2845" xr:uid="{5D094F5F-9C5E-4CAB-8793-7E8ED3921A1A}"/>
    <cellStyle name="Currency 5 7 5 2" xfId="5074" xr:uid="{36B0F377-A703-48F2-B689-ED2265007A94}"/>
    <cellStyle name="Currency 5 7 5 2 2" xfId="9292" xr:uid="{51FA645E-579B-4F9F-98BC-C6688AB0C672}"/>
    <cellStyle name="Currency 5 7 5 3" xfId="7147" xr:uid="{1542313B-6EFA-4B53-B578-144C634669A8}"/>
    <cellStyle name="Currency 5 7 6" xfId="3280" xr:uid="{52103E60-379C-44D7-8BDD-B6E7DE4CAEE1}"/>
    <cellStyle name="Currency 5 7 6 2" xfId="7560" xr:uid="{2EC81147-1D9D-4E4B-9889-FA6BBECC0FE6}"/>
    <cellStyle name="Currency 5 7 7" xfId="3577" xr:uid="{EB8C1197-395D-4B88-8A28-9E3AA450AB0B}"/>
    <cellStyle name="Currency 5 7 8" xfId="3658" xr:uid="{1ECDDD4D-8D06-4E65-9B31-D749CCB06CA2}"/>
    <cellStyle name="Currency 5 7 8 2" xfId="7877" xr:uid="{1D139569-C033-4DF8-B806-DE1D79C4A0E5}"/>
    <cellStyle name="Currency 5 7 9" xfId="5494" xr:uid="{3BE2D71D-8FC1-4A48-B544-23DD6B858AE8}"/>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10" xfId="3282" xr:uid="{B44F0EED-8C36-49C6-B794-2702BD61576C}"/>
    <cellStyle name="Normal 12 10 2" xfId="7561" xr:uid="{F70F827A-7A2B-4523-97C6-FFB5105E2AA4}"/>
    <cellStyle name="Normal 12 11" xfId="5495" xr:uid="{58B0A06A-C01F-465F-ACD0-F74CFBABEF8C}"/>
    <cellStyle name="Normal 12 12" xfId="1191" xr:uid="{4046BD3C-22FA-4233-95AB-B2314B32376C}"/>
    <cellStyle name="Normal 12 2" xfId="262" xr:uid="{00000000-0005-0000-0000-0000C5010000}"/>
    <cellStyle name="Normal 12 2 10" xfId="1192" xr:uid="{52474499-3E01-446A-B87A-1BE431B5037F}"/>
    <cellStyle name="Normal 12 2 2" xfId="263" xr:uid="{00000000-0005-0000-0000-0000C6010000}"/>
    <cellStyle name="Normal 12 2 2 2" xfId="264" xr:uid="{00000000-0005-0000-0000-0000C7010000}"/>
    <cellStyle name="Normal 12 2 2 2 2" xfId="771" xr:uid="{00000000-0005-0000-0000-0000C8010000}"/>
    <cellStyle name="Normal 12 2 2 2 2 2" xfId="3839" xr:uid="{DE935E38-ED63-4AD6-974A-E0B8BD0C556A}"/>
    <cellStyle name="Normal 12 2 2 2 2 2 2" xfId="8057" xr:uid="{820423AB-4D2A-4010-AD02-E3939EC05526}"/>
    <cellStyle name="Normal 12 2 2 2 2 3" xfId="5912" xr:uid="{58AACB39-7317-4B96-BBF5-E5FC84DF4783}"/>
    <cellStyle name="Normal 12 2 2 2 2 4" xfId="1609" xr:uid="{AD542A77-FB97-41EB-93EE-3751DAC88CFD}"/>
    <cellStyle name="Normal 12 2 2 2 3" xfId="2023" xr:uid="{B9C9FC04-B9A4-4D0F-8FA3-FB41ACF3411A}"/>
    <cellStyle name="Normal 12 2 2 2 3 2" xfId="4252" xr:uid="{E4055F70-F10B-4317-AEA9-EFA69CBAF905}"/>
    <cellStyle name="Normal 12 2 2 2 3 2 2" xfId="8470" xr:uid="{BD4ED6B1-0E06-4191-BC69-775AD2154654}"/>
    <cellStyle name="Normal 12 2 2 2 3 3" xfId="6325" xr:uid="{305A2E02-DA23-4534-9976-FF36BCCE46B8}"/>
    <cellStyle name="Normal 12 2 2 2 4" xfId="2436" xr:uid="{1099B89C-6ED2-4750-A7A8-94AE38BB4CA2}"/>
    <cellStyle name="Normal 12 2 2 2 4 2" xfId="4665" xr:uid="{95D238E5-6220-469C-9091-930D8BAD623A}"/>
    <cellStyle name="Normal 12 2 2 2 4 2 2" xfId="8883" xr:uid="{65D1A950-9BCD-4CF5-9C28-AF9B991B19FC}"/>
    <cellStyle name="Normal 12 2 2 2 4 3" xfId="6738" xr:uid="{7B4DB534-ED4B-45E0-BAE4-681367BBB7B6}"/>
    <cellStyle name="Normal 12 2 2 2 5" xfId="2849" xr:uid="{4EB7B478-9B21-4BF9-B341-8FCC232C9E00}"/>
    <cellStyle name="Normal 12 2 2 2 5 2" xfId="5078" xr:uid="{C9FC362D-DED0-41E4-91ED-461E58FFB3DF}"/>
    <cellStyle name="Normal 12 2 2 2 5 2 2" xfId="9296" xr:uid="{F4EECB51-3A6E-4616-B57A-5A686D45A617}"/>
    <cellStyle name="Normal 12 2 2 2 5 3" xfId="7151" xr:uid="{4AD723D2-2693-492E-BC02-F0950F206233}"/>
    <cellStyle name="Normal 12 2 2 2 6" xfId="3285" xr:uid="{EC19093C-0E1C-4DCB-81E5-A9ADF89A8F4F}"/>
    <cellStyle name="Normal 12 2 2 2 6 2" xfId="7564" xr:uid="{A6C19254-C8C3-447C-8D98-4AA4FEC4A690}"/>
    <cellStyle name="Normal 12 2 2 2 7" xfId="5498" xr:uid="{75D74C38-845F-4D57-83B9-367D32117DD6}"/>
    <cellStyle name="Normal 12 2 2 2 8" xfId="1194" xr:uid="{0BAA0C98-AF5D-48AF-82A6-83AFB0B3F419}"/>
    <cellStyle name="Normal 12 2 2 3" xfId="770" xr:uid="{00000000-0005-0000-0000-0000C9010000}"/>
    <cellStyle name="Normal 12 2 2 3 2" xfId="3838" xr:uid="{417DBFBA-9CF9-442E-8F22-D7DDEBAF7288}"/>
    <cellStyle name="Normal 12 2 2 3 2 2" xfId="8056" xr:uid="{0B2EE0F5-6870-4CBD-B3C8-FBB8056CCF4C}"/>
    <cellStyle name="Normal 12 2 2 3 3" xfId="5911" xr:uid="{D2F73B39-1B64-4203-BAB9-9C7D55797D24}"/>
    <cellStyle name="Normal 12 2 2 3 4" xfId="1608" xr:uid="{60BC89F0-E7CC-4F15-BB03-4ED382C44EE2}"/>
    <cellStyle name="Normal 12 2 2 4" xfId="2022" xr:uid="{E14B1D4D-3162-4025-BAEA-D95AD0A8C71D}"/>
    <cellStyle name="Normal 12 2 2 4 2" xfId="4251" xr:uid="{BC255E7C-0578-4147-B30D-8A507B4D10DD}"/>
    <cellStyle name="Normal 12 2 2 4 2 2" xfId="8469" xr:uid="{9CC912AA-8B60-46C9-BB98-F6446B7D6D07}"/>
    <cellStyle name="Normal 12 2 2 4 3" xfId="6324" xr:uid="{3D4EAF62-BDCB-40E4-A124-3E461B73BC3E}"/>
    <cellStyle name="Normal 12 2 2 5" xfId="2435" xr:uid="{C9856195-A7B8-476F-B96E-ABEB013BD1B7}"/>
    <cellStyle name="Normal 12 2 2 5 2" xfId="4664" xr:uid="{36ECBF52-03EB-4B56-8E33-0999B3568137}"/>
    <cellStyle name="Normal 12 2 2 5 2 2" xfId="8882" xr:uid="{8D0AFDD5-1740-4EBF-AEAB-FA497F694959}"/>
    <cellStyle name="Normal 12 2 2 5 3" xfId="6737" xr:uid="{8F03B022-99BD-4501-8E77-F70142725185}"/>
    <cellStyle name="Normal 12 2 2 6" xfId="2848" xr:uid="{05464EBF-E5EE-4FFA-B282-6475688E8438}"/>
    <cellStyle name="Normal 12 2 2 6 2" xfId="5077" xr:uid="{4243A64D-3853-4300-A18D-35FAAF2D8932}"/>
    <cellStyle name="Normal 12 2 2 6 2 2" xfId="9295" xr:uid="{70A37FDC-AB30-4B3A-BBA7-B6F707B9EDCA}"/>
    <cellStyle name="Normal 12 2 2 6 3" xfId="7150" xr:uid="{22E89C6B-B1AA-4698-B4A8-F66EBCE6F35D}"/>
    <cellStyle name="Normal 12 2 2 7" xfId="3284" xr:uid="{26196AAC-9717-48DB-B1C8-DA9407170C03}"/>
    <cellStyle name="Normal 12 2 2 7 2" xfId="7563" xr:uid="{33B21C65-0220-445F-893D-FEE75CE9966B}"/>
    <cellStyle name="Normal 12 2 2 8" xfId="5497" xr:uid="{7E99C5CB-D79B-42C5-A080-650C5F496306}"/>
    <cellStyle name="Normal 12 2 2 9" xfId="1193" xr:uid="{B1794DD2-35F5-4069-993F-FD5187B2B29C}"/>
    <cellStyle name="Normal 12 2 3" xfId="265" xr:uid="{00000000-0005-0000-0000-0000CA010000}"/>
    <cellStyle name="Normal 12 2 3 2" xfId="772" xr:uid="{00000000-0005-0000-0000-0000CB010000}"/>
    <cellStyle name="Normal 12 2 3 2 2" xfId="3840" xr:uid="{585B5216-D3A5-4FDB-A78D-B9C9F4C0D02A}"/>
    <cellStyle name="Normal 12 2 3 2 2 2" xfId="8058" xr:uid="{40A7153F-693F-4A5A-9EAD-2E9D377EE2FB}"/>
    <cellStyle name="Normal 12 2 3 2 3" xfId="5913" xr:uid="{4CD119BD-DA54-42FF-A961-E9B6AD570CE1}"/>
    <cellStyle name="Normal 12 2 3 2 4" xfId="1610" xr:uid="{5D5C6D54-A403-4F57-B118-8A4C328DAAA9}"/>
    <cellStyle name="Normal 12 2 3 3" xfId="2024" xr:uid="{180136B1-5473-404E-B9D8-15924A6075D4}"/>
    <cellStyle name="Normal 12 2 3 3 2" xfId="4253" xr:uid="{124A9CE9-01E6-4A0F-B9C7-364C8A94B8FB}"/>
    <cellStyle name="Normal 12 2 3 3 2 2" xfId="8471" xr:uid="{A69DD601-12EB-4F5A-8E42-7A4D740AD2B2}"/>
    <cellStyle name="Normal 12 2 3 3 3" xfId="6326" xr:uid="{F71F2269-5AD4-4C94-8F95-A7F6EC6D8CA6}"/>
    <cellStyle name="Normal 12 2 3 4" xfId="2437" xr:uid="{FB89ECFF-0858-4FFC-83B7-48D938150353}"/>
    <cellStyle name="Normal 12 2 3 4 2" xfId="4666" xr:uid="{3582F293-2A29-4D17-B06C-68FCD6207FFE}"/>
    <cellStyle name="Normal 12 2 3 4 2 2" xfId="8884" xr:uid="{B2F682F0-8831-4898-A7B3-DE370BF1E206}"/>
    <cellStyle name="Normal 12 2 3 4 3" xfId="6739" xr:uid="{4A1A52FD-6615-45DC-BE55-B56247AA857F}"/>
    <cellStyle name="Normal 12 2 3 5" xfId="2850" xr:uid="{306A7B35-DF32-4A2B-A4F3-E1A8BCA55716}"/>
    <cellStyle name="Normal 12 2 3 5 2" xfId="5079" xr:uid="{268A6F14-2E94-4B83-8214-F51282B3E6E6}"/>
    <cellStyle name="Normal 12 2 3 5 2 2" xfId="9297" xr:uid="{2714B4D3-3FC4-4D51-9FCD-86040EC92B11}"/>
    <cellStyle name="Normal 12 2 3 5 3" xfId="7152" xr:uid="{5DBD1D9C-AAEE-46F7-8A7A-4457FCFFA7D5}"/>
    <cellStyle name="Normal 12 2 3 6" xfId="3286" xr:uid="{82A8D680-7180-4E04-B1D1-8C2EB75D324D}"/>
    <cellStyle name="Normal 12 2 3 6 2" xfId="7565" xr:uid="{4A0B719F-B143-4CB3-8631-3E4B7C9A035D}"/>
    <cellStyle name="Normal 12 2 3 7" xfId="5499" xr:uid="{41CBB40E-0FAB-4CDB-9A1E-D612268525DB}"/>
    <cellStyle name="Normal 12 2 3 8" xfId="1195" xr:uid="{146DA809-E0B9-459A-B325-E0890C9C88F7}"/>
    <cellStyle name="Normal 12 2 4" xfId="769" xr:uid="{00000000-0005-0000-0000-0000CC010000}"/>
    <cellStyle name="Normal 12 2 4 2" xfId="3837" xr:uid="{0AF9F3DB-C1F2-4E64-A7F4-7F880E2BE1B5}"/>
    <cellStyle name="Normal 12 2 4 2 2" xfId="8055" xr:uid="{AEBA7DFE-02E9-4C17-9234-AC2E9E7765D9}"/>
    <cellStyle name="Normal 12 2 4 3" xfId="5910" xr:uid="{2D48E2A8-A716-4D64-8343-EB018DD1AF87}"/>
    <cellStyle name="Normal 12 2 4 4" xfId="1607" xr:uid="{44EFBE20-7EE0-4DFF-9587-580923D86257}"/>
    <cellStyle name="Normal 12 2 5" xfId="2021" xr:uid="{8739A527-79A8-4A44-9090-AC8E95ADA445}"/>
    <cellStyle name="Normal 12 2 5 2" xfId="4250" xr:uid="{367ADE49-72C5-4973-807F-A33553A37EE7}"/>
    <cellStyle name="Normal 12 2 5 2 2" xfId="8468" xr:uid="{9FC18C1E-54BF-4060-BE25-01EDF5EB41D5}"/>
    <cellStyle name="Normal 12 2 5 3" xfId="6323" xr:uid="{9AB66203-5169-4D2A-9520-E4748EAAF2D3}"/>
    <cellStyle name="Normal 12 2 6" xfId="2434" xr:uid="{AE570DDD-D480-47AD-AC52-348668B96833}"/>
    <cellStyle name="Normal 12 2 6 2" xfId="4663" xr:uid="{2B45F7A9-6462-4120-BAF8-64FB3865C3C1}"/>
    <cellStyle name="Normal 12 2 6 2 2" xfId="8881" xr:uid="{291429DB-B71E-48FC-83E4-F7C25CF66FF2}"/>
    <cellStyle name="Normal 12 2 6 3" xfId="6736" xr:uid="{76C13475-B0B7-4771-AC5A-747B5B1B51A4}"/>
    <cellStyle name="Normal 12 2 7" xfId="2847" xr:uid="{6AB147D5-CD63-4A8E-8BB3-645B4D5D6A7A}"/>
    <cellStyle name="Normal 12 2 7 2" xfId="5076" xr:uid="{28C3CC13-DC10-4C20-903F-38E030CA7E89}"/>
    <cellStyle name="Normal 12 2 7 2 2" xfId="9294" xr:uid="{DE3C6D5E-0660-40A6-A3E7-7929304D7F57}"/>
    <cellStyle name="Normal 12 2 7 3" xfId="7149" xr:uid="{0F1C2A39-2974-4FA8-8813-887E798D0C4D}"/>
    <cellStyle name="Normal 12 2 8" xfId="3283" xr:uid="{164B79FF-006D-42F9-9E35-AC799A0B648B}"/>
    <cellStyle name="Normal 12 2 8 2" xfId="7562" xr:uid="{0445DC85-5274-4504-B680-110C947D6CB0}"/>
    <cellStyle name="Normal 12 2 9" xfId="5496" xr:uid="{52DE8FF1-1CE4-49FA-B395-3A9FB00BF2F4}"/>
    <cellStyle name="Normal 12 3" xfId="266" xr:uid="{00000000-0005-0000-0000-0000CD010000}"/>
    <cellStyle name="Normal 12 3 2" xfId="267" xr:uid="{00000000-0005-0000-0000-0000CE010000}"/>
    <cellStyle name="Normal 12 3 2 2" xfId="774" xr:uid="{00000000-0005-0000-0000-0000CF010000}"/>
    <cellStyle name="Normal 12 3 2 2 2" xfId="3842" xr:uid="{1E162389-3DA2-4249-913A-1EE13E96532B}"/>
    <cellStyle name="Normal 12 3 2 2 2 2" xfId="8060" xr:uid="{768513D8-6E04-4B2F-B008-DFF976A62CBA}"/>
    <cellStyle name="Normal 12 3 2 2 3" xfId="5915" xr:uid="{ED2EDBFC-DD3D-4DE9-B3EF-8D97938D7866}"/>
    <cellStyle name="Normal 12 3 2 2 4" xfId="1612" xr:uid="{B0F09095-DBC1-4B2A-AF66-E8BF65DB50F3}"/>
    <cellStyle name="Normal 12 3 2 3" xfId="2026" xr:uid="{8BE1AF9E-042B-4EE5-84E0-C914592B7782}"/>
    <cellStyle name="Normal 12 3 2 3 2" xfId="4255" xr:uid="{4CD5C202-F564-4774-B569-441BFE0D04D0}"/>
    <cellStyle name="Normal 12 3 2 3 2 2" xfId="8473" xr:uid="{21A6F59A-02F0-47BC-A383-DD63E33BB739}"/>
    <cellStyle name="Normal 12 3 2 3 3" xfId="6328" xr:uid="{891910DB-EBC0-444E-BFF5-6D11985558D3}"/>
    <cellStyle name="Normal 12 3 2 4" xfId="2439" xr:uid="{FEDAC959-C24E-481C-8392-5C06A3C263E1}"/>
    <cellStyle name="Normal 12 3 2 4 2" xfId="4668" xr:uid="{AA51C2DD-150C-408D-A5E4-CC835FA05EBA}"/>
    <cellStyle name="Normal 12 3 2 4 2 2" xfId="8886" xr:uid="{DD7FE8AE-893A-4AC3-B127-F33750B0D886}"/>
    <cellStyle name="Normal 12 3 2 4 3" xfId="6741" xr:uid="{9548190F-3B91-47C0-86AA-D4EF387A9374}"/>
    <cellStyle name="Normal 12 3 2 5" xfId="2852" xr:uid="{FDCD918F-8AC2-4087-BBED-2CB191E44FC3}"/>
    <cellStyle name="Normal 12 3 2 5 2" xfId="5081" xr:uid="{6581BE99-C1D1-4352-BEC9-E97382B9AA7F}"/>
    <cellStyle name="Normal 12 3 2 5 2 2" xfId="9299" xr:uid="{03F531D1-928B-41FF-AF8F-541C7F26B308}"/>
    <cellStyle name="Normal 12 3 2 5 3" xfId="7154" xr:uid="{3DB232E9-36A2-4FC7-9200-49655B0C5397}"/>
    <cellStyle name="Normal 12 3 2 6" xfId="3288" xr:uid="{83EC3049-AA92-45A5-B700-BCC6D57413D5}"/>
    <cellStyle name="Normal 12 3 2 6 2" xfId="7567" xr:uid="{3DBBE662-A842-4716-B5C2-07ABD2A6A341}"/>
    <cellStyle name="Normal 12 3 2 7" xfId="5501" xr:uid="{8D3DAB76-94CB-4359-946B-18FE0BF8704B}"/>
    <cellStyle name="Normal 12 3 2 8" xfId="1197" xr:uid="{2FFA7D2C-51E4-4084-A1F6-CCECAC88739C}"/>
    <cellStyle name="Normal 12 3 3" xfId="773" xr:uid="{00000000-0005-0000-0000-0000D0010000}"/>
    <cellStyle name="Normal 12 3 3 2" xfId="3841" xr:uid="{3C0FBB06-05C2-472D-BE96-524B24D26FDC}"/>
    <cellStyle name="Normal 12 3 3 2 2" xfId="8059" xr:uid="{3C28B800-309B-4DA6-92FB-5A9A5BD14364}"/>
    <cellStyle name="Normal 12 3 3 3" xfId="5914" xr:uid="{A0D63645-4E6F-4EC5-BB9F-CE921F78ABAA}"/>
    <cellStyle name="Normal 12 3 3 4" xfId="1611" xr:uid="{D20FC450-3EA5-4816-B3C4-21CFC8617816}"/>
    <cellStyle name="Normal 12 3 4" xfId="2025" xr:uid="{DC878EB3-D40F-47A8-9134-AB5EBBB2430C}"/>
    <cellStyle name="Normal 12 3 4 2" xfId="4254" xr:uid="{01C83EEE-5F19-4C90-897F-36792B85C19D}"/>
    <cellStyle name="Normal 12 3 4 2 2" xfId="8472" xr:uid="{A207D802-6695-4A20-A782-D2BF8D04EF0B}"/>
    <cellStyle name="Normal 12 3 4 3" xfId="6327" xr:uid="{969C06A6-D1C5-45CE-A913-33D23ECA794D}"/>
    <cellStyle name="Normal 12 3 5" xfId="2438" xr:uid="{D278FE1C-1F9C-400D-8935-C963660B9CD8}"/>
    <cellStyle name="Normal 12 3 5 2" xfId="4667" xr:uid="{7B9B7FD5-1DED-4E11-9FC2-E3EFB63E5183}"/>
    <cellStyle name="Normal 12 3 5 2 2" xfId="8885" xr:uid="{FE3B679E-B565-4C53-8298-5017F2D9C47B}"/>
    <cellStyle name="Normal 12 3 5 3" xfId="6740" xr:uid="{AE970690-A210-4CB1-B997-9D0B36F7C393}"/>
    <cellStyle name="Normal 12 3 6" xfId="2851" xr:uid="{8023C487-8D70-49A7-B5F0-4189A0A6C152}"/>
    <cellStyle name="Normal 12 3 6 2" xfId="5080" xr:uid="{EE536BBE-262C-4FCD-9521-08FCA092F009}"/>
    <cellStyle name="Normal 12 3 6 2 2" xfId="9298" xr:uid="{8BAD1B49-BC2E-41C7-9371-1A608C68E5BC}"/>
    <cellStyle name="Normal 12 3 6 3" xfId="7153" xr:uid="{9D38CAA0-DDA0-44D7-BBA3-A1AA1C8AEC59}"/>
    <cellStyle name="Normal 12 3 7" xfId="3287" xr:uid="{8D59EB60-F2F0-45A4-B9EF-05DD90C6820D}"/>
    <cellStyle name="Normal 12 3 7 2" xfId="7566" xr:uid="{B3DB054B-A9E2-496E-8033-B923FA50C923}"/>
    <cellStyle name="Normal 12 3 8" xfId="5500" xr:uid="{6496BA09-A719-4D75-A5B3-5FD0F5C53FCA}"/>
    <cellStyle name="Normal 12 3 9" xfId="1196" xr:uid="{F3AB6E84-29D0-4FFF-97AC-EA680B54169F}"/>
    <cellStyle name="Normal 12 4" xfId="268" xr:uid="{00000000-0005-0000-0000-0000D1010000}"/>
    <cellStyle name="Normal 12 4 2" xfId="775" xr:uid="{00000000-0005-0000-0000-0000D2010000}"/>
    <cellStyle name="Normal 12 4 2 2" xfId="3843" xr:uid="{8DA4F434-5328-4FAD-ACD1-2E017C326E04}"/>
    <cellStyle name="Normal 12 4 2 2 2" xfId="8061" xr:uid="{E5060D35-0C44-48C3-9DE9-60B355F7A199}"/>
    <cellStyle name="Normal 12 4 2 3" xfId="5916" xr:uid="{447A34DA-42D5-4D29-9A3D-867EB008DBE2}"/>
    <cellStyle name="Normal 12 4 2 4" xfId="1613" xr:uid="{F0107D1A-5275-4008-A99D-B169007F3140}"/>
    <cellStyle name="Normal 12 4 3" xfId="2027" xr:uid="{D0EFFFB3-5F3A-4EE2-8325-62FE1301BE02}"/>
    <cellStyle name="Normal 12 4 3 2" xfId="4256" xr:uid="{42630645-87E6-4E70-80AF-B0FA34A3B49E}"/>
    <cellStyle name="Normal 12 4 3 2 2" xfId="8474" xr:uid="{34B14A2D-ED7B-44A8-B6A0-EC46106ECB3E}"/>
    <cellStyle name="Normal 12 4 3 3" xfId="6329" xr:uid="{B57549BC-CFD3-4FEB-ADB2-0C01B292DFAC}"/>
    <cellStyle name="Normal 12 4 4" xfId="2440" xr:uid="{B7BEF462-657D-46F3-9C9E-E9C5716FDD7B}"/>
    <cellStyle name="Normal 12 4 4 2" xfId="4669" xr:uid="{F52AD37F-FA3B-4350-8007-3CA5879F5E7B}"/>
    <cellStyle name="Normal 12 4 4 2 2" xfId="8887" xr:uid="{DBF2C5C2-D4EE-4348-89E9-19440CA70376}"/>
    <cellStyle name="Normal 12 4 4 3" xfId="6742" xr:uid="{85CF267F-1C7C-4646-9D2C-89F142F080A3}"/>
    <cellStyle name="Normal 12 4 5" xfId="2853" xr:uid="{846349FC-F982-4E32-9256-E9B5587ECC83}"/>
    <cellStyle name="Normal 12 4 5 2" xfId="5082" xr:uid="{8DBCF159-DEE1-4B80-9B99-AD927931D21F}"/>
    <cellStyle name="Normal 12 4 5 2 2" xfId="9300" xr:uid="{5A6B586D-6660-4BF5-A28B-EAB22F95967C}"/>
    <cellStyle name="Normal 12 4 5 3" xfId="7155" xr:uid="{00083E6E-EF3A-4A3A-BB2A-CA4D3A6993B0}"/>
    <cellStyle name="Normal 12 4 6" xfId="3289" xr:uid="{71F1F230-5F49-47D6-A03F-93B16A383233}"/>
    <cellStyle name="Normal 12 4 6 2" xfId="7568" xr:uid="{F1D696BA-FC5B-4398-8C03-34FF6974B370}"/>
    <cellStyle name="Normal 12 4 7" xfId="5502" xr:uid="{AB503ABC-8DCA-4483-A680-6D7F6841661F}"/>
    <cellStyle name="Normal 12 4 8" xfId="1198" xr:uid="{82706031-A6C8-4F34-8281-BDF2B06B35FC}"/>
    <cellStyle name="Normal 12 5" xfId="269" xr:uid="{00000000-0005-0000-0000-0000D3010000}"/>
    <cellStyle name="Normal 12 6" xfId="768" xr:uid="{00000000-0005-0000-0000-0000D4010000}"/>
    <cellStyle name="Normal 12 6 2" xfId="3836" xr:uid="{61436697-55B7-44ED-820B-649024C25B81}"/>
    <cellStyle name="Normal 12 6 2 2" xfId="8054" xr:uid="{252E2D82-7122-45A0-8D3D-749803DE54F0}"/>
    <cellStyle name="Normal 12 6 3" xfId="5909" xr:uid="{52952A32-A95D-4948-91BB-4C6B87E56C10}"/>
    <cellStyle name="Normal 12 6 4" xfId="1606" xr:uid="{F4A8B4C1-512A-4BB3-ACA8-1E5AEF94732B}"/>
    <cellStyle name="Normal 12 7" xfId="2020" xr:uid="{05E5D198-309F-4AA3-A359-50406CE98061}"/>
    <cellStyle name="Normal 12 7 2" xfId="4249" xr:uid="{3338EAEF-9B16-463D-9E93-ABC7E45ED575}"/>
    <cellStyle name="Normal 12 7 2 2" xfId="8467" xr:uid="{23A39C2F-F80D-4C62-84D4-5DB794BCDAC0}"/>
    <cellStyle name="Normal 12 7 3" xfId="6322" xr:uid="{9B51595B-D23D-4615-9384-B9E4C92901E5}"/>
    <cellStyle name="Normal 12 8" xfId="2433" xr:uid="{FD5457C8-7ACD-415E-8AF2-36FFB71089AA}"/>
    <cellStyle name="Normal 12 8 2" xfId="4662" xr:uid="{1841D284-EBEA-4BBF-92D2-B25D78C9F0C5}"/>
    <cellStyle name="Normal 12 8 2 2" xfId="8880" xr:uid="{AADB6E80-30C5-4CA4-8AF8-2060BFFF61C5}"/>
    <cellStyle name="Normal 12 8 3" xfId="6735" xr:uid="{4857D308-6624-47DA-805D-7428FE0017A0}"/>
    <cellStyle name="Normal 12 9" xfId="2846" xr:uid="{8CDF3941-92D4-4B90-8D75-73E38E3E4C6A}"/>
    <cellStyle name="Normal 12 9 2" xfId="5075" xr:uid="{C708DE5D-BACA-4277-8D9D-737032E5CB9B}"/>
    <cellStyle name="Normal 12 9 2 2" xfId="9293" xr:uid="{719CFE4A-73AF-46AC-AED3-38FCE38FB872}"/>
    <cellStyle name="Normal 12 9 3" xfId="7148" xr:uid="{279C5D34-80F4-422A-829E-DA435BCF77E5}"/>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3844" xr:uid="{1BA4ECF4-D505-499A-AA6F-A50B33F327FD}"/>
    <cellStyle name="Normal 14 2 2 2" xfId="8062" xr:uid="{FB334C67-DD5F-4B2E-9356-26985CA62751}"/>
    <cellStyle name="Normal 14 2 3" xfId="5917" xr:uid="{60D39350-3361-4402-9878-ED5BF374AEC5}"/>
    <cellStyle name="Normal 14 2 4" xfId="1614" xr:uid="{6F9779E4-EB61-4B09-80B0-FE71629F8F4A}"/>
    <cellStyle name="Normal 14 3" xfId="2028" xr:uid="{875F4596-B6F1-4B32-AB09-4BAEC125CD12}"/>
    <cellStyle name="Normal 14 3 2" xfId="4257" xr:uid="{2081236B-38C5-4A78-9F86-9E7823BEA314}"/>
    <cellStyle name="Normal 14 3 2 2" xfId="8475" xr:uid="{92DDBF5F-A597-4A95-B228-7C1E5A019DE6}"/>
    <cellStyle name="Normal 14 3 3" xfId="6330" xr:uid="{AD3DBAC9-527B-4355-8285-B908C651F246}"/>
    <cellStyle name="Normal 14 4" xfId="2441" xr:uid="{1523C4D6-D220-4CAD-8409-21965A6D47C7}"/>
    <cellStyle name="Normal 14 4 2" xfId="4670" xr:uid="{537F53DE-63FF-4B78-BDF8-2E5A15E9514E}"/>
    <cellStyle name="Normal 14 4 2 2" xfId="8888" xr:uid="{47619EEC-811F-4F22-9754-DE23E40B7BD1}"/>
    <cellStyle name="Normal 14 4 3" xfId="6743" xr:uid="{E9450F26-8D33-40DE-AE63-4D19E56E6B0F}"/>
    <cellStyle name="Normal 14 5" xfId="2854" xr:uid="{6D15A0D8-207B-40EA-BEF3-1D0D53EB61D1}"/>
    <cellStyle name="Normal 14 5 2" xfId="5083" xr:uid="{7ACAF0F3-7D98-4C42-8B97-8FC2DEE177D2}"/>
    <cellStyle name="Normal 14 5 2 2" xfId="9301" xr:uid="{3618F055-2A08-422F-8482-87F4B7DC2FA6}"/>
    <cellStyle name="Normal 14 5 3" xfId="7156" xr:uid="{4C00DF85-817F-4206-A483-11361CCF3721}"/>
    <cellStyle name="Normal 14 6" xfId="3290" xr:uid="{A757B9BB-5566-42B6-9D95-6515E99A7326}"/>
    <cellStyle name="Normal 14 6 2" xfId="7569" xr:uid="{6243724B-3288-4FCC-A817-7BDF85465BF1}"/>
    <cellStyle name="Normal 14 7" xfId="5503" xr:uid="{332A0FEE-D235-4BE8-A606-BB534647F958}"/>
    <cellStyle name="Normal 14 8" xfId="1199" xr:uid="{0CB5B175-B609-4051-89B2-056B7729F212}"/>
    <cellStyle name="Normal 15" xfId="575" xr:uid="{00000000-0005-0000-0000-0000D9010000}"/>
    <cellStyle name="Normal 15 2" xfId="5329" xr:uid="{FC451B26-3585-48AB-AD91-0BBF08971D48}"/>
    <cellStyle name="Normal 16" xfId="5332" xr:uid="{1FAEE731-6802-4717-9700-CC272C00676B}"/>
    <cellStyle name="Normal 16 2" xfId="9546" xr:uid="{5391170A-6641-45A7-92BA-AAB1BA250D85}"/>
    <cellStyle name="Normal 16 3" xfId="9549" xr:uid="{3441502F-175B-4336-B057-1D07EFAE9A84}"/>
    <cellStyle name="Normal 16 3 2" xfId="9552" xr:uid="{7B41AD3E-2972-4DC3-BCB0-9E41699A55D5}"/>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10" xfId="2855" xr:uid="{38D7151C-ADEF-43F4-8311-6AF6CF8D2288}"/>
    <cellStyle name="Normal 2 4 2 10 2" xfId="5084" xr:uid="{1590F625-07BD-4575-B61B-F6076ECFFD46}"/>
    <cellStyle name="Normal 2 4 2 10 2 2" xfId="9302" xr:uid="{C01B7BED-6879-410B-839D-D701B3B803CE}"/>
    <cellStyle name="Normal 2 4 2 10 3" xfId="7157" xr:uid="{58B70614-48E3-4733-9E90-65AD8ABB872A}"/>
    <cellStyle name="Normal 2 4 2 11" xfId="3291" xr:uid="{4BF3938B-4254-42DB-8827-5683151E082A}"/>
    <cellStyle name="Normal 2 4 2 11 2" xfId="7570" xr:uid="{C5DD4575-C931-4485-8603-8C478D6B5EDA}"/>
    <cellStyle name="Normal 2 4 2 12" xfId="5504" xr:uid="{A891BF69-C2E3-417A-8D1E-94287006B35C}"/>
    <cellStyle name="Normal 2 4 2 13" xfId="1200" xr:uid="{7D8379C0-447A-4FFE-B45B-DD85680E79E8}"/>
    <cellStyle name="Normal 2 4 2 2" xfId="283" xr:uid="{00000000-0005-0000-0000-0000E6010000}"/>
    <cellStyle name="Normal 2 4 2 3" xfId="284" xr:uid="{00000000-0005-0000-0000-0000E7010000}"/>
    <cellStyle name="Normal 2 4 2 3 10" xfId="5505" xr:uid="{5C453250-860D-4250-8315-836456BB4A0B}"/>
    <cellStyle name="Normal 2 4 2 3 11" xfId="1201" xr:uid="{0246DF11-B7FD-41E8-B55D-EE441A24CFD9}"/>
    <cellStyle name="Normal 2 4 2 3 2" xfId="285" xr:uid="{00000000-0005-0000-0000-0000E8010000}"/>
    <cellStyle name="Normal 2 4 2 3 2 10" xfId="1202" xr:uid="{79ECA8D8-F43C-4943-A2BE-C08D50DFBC92}"/>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3849" xr:uid="{1AA91825-CFCF-4BAF-8B18-FA44C00BAB0E}"/>
    <cellStyle name="Normal 2 4 2 3 2 2 2 2 2 2" xfId="8067" xr:uid="{4B8DA41C-C28B-43D7-904E-2EB656F202C3}"/>
    <cellStyle name="Normal 2 4 2 3 2 2 2 2 3" xfId="5922" xr:uid="{E7EF2AC3-D108-4385-AB0E-C5A816C67D46}"/>
    <cellStyle name="Normal 2 4 2 3 2 2 2 2 4" xfId="1620" xr:uid="{EE624E68-FCC0-4CFB-B136-507E4D2074BE}"/>
    <cellStyle name="Normal 2 4 2 3 2 2 2 3" xfId="2033" xr:uid="{389B187D-F2BA-486A-996A-B87DF9BCE7C7}"/>
    <cellStyle name="Normal 2 4 2 3 2 2 2 3 2" xfId="4262" xr:uid="{6EFAE100-CADB-4CC4-83CC-51CC62167622}"/>
    <cellStyle name="Normal 2 4 2 3 2 2 2 3 2 2" xfId="8480" xr:uid="{25BA1165-8ACF-4D94-A29F-94CAAF01D39B}"/>
    <cellStyle name="Normal 2 4 2 3 2 2 2 3 3" xfId="6335" xr:uid="{624A8E71-B7A8-4A35-A316-424418E90EFA}"/>
    <cellStyle name="Normal 2 4 2 3 2 2 2 4" xfId="2446" xr:uid="{5821273A-3F57-4F73-9739-9FDAD801C651}"/>
    <cellStyle name="Normal 2 4 2 3 2 2 2 4 2" xfId="4675" xr:uid="{260C61AE-BFCC-4476-A148-BB8330CA4433}"/>
    <cellStyle name="Normal 2 4 2 3 2 2 2 4 2 2" xfId="8893" xr:uid="{70E775F1-CB6D-4BAA-9164-7F95D506406B}"/>
    <cellStyle name="Normal 2 4 2 3 2 2 2 4 3" xfId="6748" xr:uid="{D638C902-8501-40FA-928D-FA4C9C83B4B2}"/>
    <cellStyle name="Normal 2 4 2 3 2 2 2 5" xfId="2859" xr:uid="{A636EFB2-D3BE-41D9-B05F-A1797FC3F179}"/>
    <cellStyle name="Normal 2 4 2 3 2 2 2 5 2" xfId="5088" xr:uid="{ECDEAE75-F07C-4EE2-B3CF-CC02F016388D}"/>
    <cellStyle name="Normal 2 4 2 3 2 2 2 5 2 2" xfId="9306" xr:uid="{8E2A96BF-7B6E-40CB-A646-CF5B49A9682A}"/>
    <cellStyle name="Normal 2 4 2 3 2 2 2 5 3" xfId="7161" xr:uid="{A7C4A1ED-8641-4E40-87A7-A2D3422817DC}"/>
    <cellStyle name="Normal 2 4 2 3 2 2 2 6" xfId="3295" xr:uid="{BCE15EB9-F707-46A3-9FF9-D378C1ED3095}"/>
    <cellStyle name="Normal 2 4 2 3 2 2 2 6 2" xfId="7574" xr:uid="{421A6CF9-8788-46C3-BC5E-F28247343E85}"/>
    <cellStyle name="Normal 2 4 2 3 2 2 2 7" xfId="5508" xr:uid="{4D1C8F3E-2185-4CA8-8565-6C2E2CB710E9}"/>
    <cellStyle name="Normal 2 4 2 3 2 2 2 8" xfId="1204" xr:uid="{D737EF73-4629-465F-B694-60A0B495481B}"/>
    <cellStyle name="Normal 2 4 2 3 2 2 3" xfId="782" xr:uid="{00000000-0005-0000-0000-0000EC010000}"/>
    <cellStyle name="Normal 2 4 2 3 2 2 3 2" xfId="3848" xr:uid="{4BDAB57F-8262-4B95-B3E8-3E037A4C0F83}"/>
    <cellStyle name="Normal 2 4 2 3 2 2 3 2 2" xfId="8066" xr:uid="{AB02A141-207E-4BAF-8243-E8EE2BC9E61B}"/>
    <cellStyle name="Normal 2 4 2 3 2 2 3 3" xfId="5921" xr:uid="{81BF2493-1D42-4DAE-BAB6-B0FA049BAE43}"/>
    <cellStyle name="Normal 2 4 2 3 2 2 3 4" xfId="1619" xr:uid="{2219DC0F-1863-4D2E-9865-9FB1F8C3841D}"/>
    <cellStyle name="Normal 2 4 2 3 2 2 4" xfId="2032" xr:uid="{34A2C208-2BE6-4477-A312-C311C3CECBB5}"/>
    <cellStyle name="Normal 2 4 2 3 2 2 4 2" xfId="4261" xr:uid="{74504A9D-F666-48B2-AD27-A98AECFCFEA6}"/>
    <cellStyle name="Normal 2 4 2 3 2 2 4 2 2" xfId="8479" xr:uid="{6743608E-2B0E-455B-B7D1-E8ECFE416077}"/>
    <cellStyle name="Normal 2 4 2 3 2 2 4 3" xfId="6334" xr:uid="{6B43E0B5-4C79-45DE-929F-CFA0A59464F2}"/>
    <cellStyle name="Normal 2 4 2 3 2 2 5" xfId="2445" xr:uid="{999C8941-543D-461B-8D52-D39672840EB3}"/>
    <cellStyle name="Normal 2 4 2 3 2 2 5 2" xfId="4674" xr:uid="{BB463898-1A0C-4500-8597-A0644D5B9C23}"/>
    <cellStyle name="Normal 2 4 2 3 2 2 5 2 2" xfId="8892" xr:uid="{9342F4B0-4B14-46DD-BF4E-23AD9413F020}"/>
    <cellStyle name="Normal 2 4 2 3 2 2 5 3" xfId="6747" xr:uid="{07D88082-34C1-49AC-8CDB-050404E7E533}"/>
    <cellStyle name="Normal 2 4 2 3 2 2 6" xfId="2858" xr:uid="{82209AE7-95D8-49CF-8E47-2217582F840B}"/>
    <cellStyle name="Normal 2 4 2 3 2 2 6 2" xfId="5087" xr:uid="{2081EE88-07CA-435A-8A05-99E60EC0F80C}"/>
    <cellStyle name="Normal 2 4 2 3 2 2 6 2 2" xfId="9305" xr:uid="{93B6F68E-EAC4-4418-BDCF-29A81CD3E4A0}"/>
    <cellStyle name="Normal 2 4 2 3 2 2 6 3" xfId="7160" xr:uid="{59AAB459-2F7D-4A7D-8C9E-47AFB4141324}"/>
    <cellStyle name="Normal 2 4 2 3 2 2 7" xfId="3294" xr:uid="{2BEAECD7-9737-462F-8D2A-44E5B8A26F5C}"/>
    <cellStyle name="Normal 2 4 2 3 2 2 7 2" xfId="7573" xr:uid="{5C3E171F-21A5-47E4-8CE8-65349A8834CE}"/>
    <cellStyle name="Normal 2 4 2 3 2 2 8" xfId="5507" xr:uid="{220E6E58-5414-441E-8FA7-160E087E567D}"/>
    <cellStyle name="Normal 2 4 2 3 2 2 9" xfId="1203" xr:uid="{519275C7-1D5B-42C3-9473-CCEB39190B55}"/>
    <cellStyle name="Normal 2 4 2 3 2 3" xfId="288" xr:uid="{00000000-0005-0000-0000-0000ED010000}"/>
    <cellStyle name="Normal 2 4 2 3 2 3 2" xfId="784" xr:uid="{00000000-0005-0000-0000-0000EE010000}"/>
    <cellStyle name="Normal 2 4 2 3 2 3 2 2" xfId="3850" xr:uid="{409790AA-5E55-4751-93DC-448028CE2A6A}"/>
    <cellStyle name="Normal 2 4 2 3 2 3 2 2 2" xfId="8068" xr:uid="{4FED8A93-551F-4FB5-AE92-77F238681D6F}"/>
    <cellStyle name="Normal 2 4 2 3 2 3 2 3" xfId="5923" xr:uid="{69FA2731-4B7F-4C12-93C5-0CBABD2E32F1}"/>
    <cellStyle name="Normal 2 4 2 3 2 3 2 4" xfId="1621" xr:uid="{0AE71814-C1C8-4D94-969D-8A9AE048F252}"/>
    <cellStyle name="Normal 2 4 2 3 2 3 3" xfId="2034" xr:uid="{C623C14B-5C7B-480C-90B6-59D1AA01D528}"/>
    <cellStyle name="Normal 2 4 2 3 2 3 3 2" xfId="4263" xr:uid="{8AF0B7EF-931B-451B-9E97-AC781E7212D5}"/>
    <cellStyle name="Normal 2 4 2 3 2 3 3 2 2" xfId="8481" xr:uid="{E464C457-DC3B-4D0B-9F20-FE028695EFD2}"/>
    <cellStyle name="Normal 2 4 2 3 2 3 3 3" xfId="6336" xr:uid="{E8EC05C2-31D6-4283-8BB0-227909691184}"/>
    <cellStyle name="Normal 2 4 2 3 2 3 4" xfId="2447" xr:uid="{D4D7D9F7-E74E-4637-8F4C-1D0C883DAB16}"/>
    <cellStyle name="Normal 2 4 2 3 2 3 4 2" xfId="4676" xr:uid="{F7BC5590-A187-4726-83C3-8325CD0E7479}"/>
    <cellStyle name="Normal 2 4 2 3 2 3 4 2 2" xfId="8894" xr:uid="{5F6CD8ED-9127-4C07-940B-7F6C5CEB27A3}"/>
    <cellStyle name="Normal 2 4 2 3 2 3 4 3" xfId="6749" xr:uid="{669D7354-F47A-4DB1-A243-317CE02B7B07}"/>
    <cellStyle name="Normal 2 4 2 3 2 3 5" xfId="2860" xr:uid="{0E14BFAF-BD32-4897-AB49-64FA7817B77A}"/>
    <cellStyle name="Normal 2 4 2 3 2 3 5 2" xfId="5089" xr:uid="{2DFA65D2-6BD5-4BBC-A369-06943946C332}"/>
    <cellStyle name="Normal 2 4 2 3 2 3 5 2 2" xfId="9307" xr:uid="{0377ABB8-8A5E-49D3-A395-465F203B8260}"/>
    <cellStyle name="Normal 2 4 2 3 2 3 5 3" xfId="7162" xr:uid="{1910DD84-932F-4085-98DB-098C18CCAF5B}"/>
    <cellStyle name="Normal 2 4 2 3 2 3 6" xfId="3296" xr:uid="{66B57185-03C1-489F-896A-B2C85EC409A4}"/>
    <cellStyle name="Normal 2 4 2 3 2 3 6 2" xfId="7575" xr:uid="{222E2903-ABF8-4853-A22F-EB8B0887D818}"/>
    <cellStyle name="Normal 2 4 2 3 2 3 7" xfId="5509" xr:uid="{83983AD7-526F-46CE-A445-3F9CE8EB415D}"/>
    <cellStyle name="Normal 2 4 2 3 2 3 8" xfId="1205" xr:uid="{A2D819AE-B451-425B-91AD-8C9256FB2260}"/>
    <cellStyle name="Normal 2 4 2 3 2 4" xfId="781" xr:uid="{00000000-0005-0000-0000-0000EF010000}"/>
    <cellStyle name="Normal 2 4 2 3 2 4 2" xfId="3847" xr:uid="{7CEA849D-97CA-413F-8736-7C6FEA6B90E1}"/>
    <cellStyle name="Normal 2 4 2 3 2 4 2 2" xfId="8065" xr:uid="{B0C934F0-CBEC-4581-85F4-B6C20C712079}"/>
    <cellStyle name="Normal 2 4 2 3 2 4 3" xfId="5920" xr:uid="{F4C2EF34-6922-4738-A9F3-BBD0A9F35C48}"/>
    <cellStyle name="Normal 2 4 2 3 2 4 4" xfId="1618" xr:uid="{9AD02C4A-5C08-4E56-99C3-968140A5F0A3}"/>
    <cellStyle name="Normal 2 4 2 3 2 5" xfId="2031" xr:uid="{812AAC36-0245-4B51-AF03-019C3E5DA762}"/>
    <cellStyle name="Normal 2 4 2 3 2 5 2" xfId="4260" xr:uid="{0C3DD464-11D8-4EC9-A56B-0ED8CFAB99ED}"/>
    <cellStyle name="Normal 2 4 2 3 2 5 2 2" xfId="8478" xr:uid="{BF48436C-DAB9-4631-9C7C-B9095F0F6019}"/>
    <cellStyle name="Normal 2 4 2 3 2 5 3" xfId="6333" xr:uid="{3E7126EA-B68B-4845-99C1-951BD7D841BE}"/>
    <cellStyle name="Normal 2 4 2 3 2 6" xfId="2444" xr:uid="{D03608BF-F0AF-43CC-A9C3-8691A3DB9FCD}"/>
    <cellStyle name="Normal 2 4 2 3 2 6 2" xfId="4673" xr:uid="{D4FF94A8-8520-4E5C-92D4-7F883F08C233}"/>
    <cellStyle name="Normal 2 4 2 3 2 6 2 2" xfId="8891" xr:uid="{59768A3D-EBF4-4D77-9F7E-69C457B9195E}"/>
    <cellStyle name="Normal 2 4 2 3 2 6 3" xfId="6746" xr:uid="{84B79E4D-2A19-4035-875D-A58E43C3D3E4}"/>
    <cellStyle name="Normal 2 4 2 3 2 7" xfId="2857" xr:uid="{87026995-CD0A-47C5-85B4-FBB5A43455F2}"/>
    <cellStyle name="Normal 2 4 2 3 2 7 2" xfId="5086" xr:uid="{0BC0FFAE-B9AA-4172-829B-95488C03BBD3}"/>
    <cellStyle name="Normal 2 4 2 3 2 7 2 2" xfId="9304" xr:uid="{3E3D0E67-A989-4FD1-B834-599360BAF125}"/>
    <cellStyle name="Normal 2 4 2 3 2 7 3" xfId="7159" xr:uid="{441D629E-5997-494B-A6BC-CE580B793938}"/>
    <cellStyle name="Normal 2 4 2 3 2 8" xfId="3293" xr:uid="{C20FE818-979E-4E11-AE85-E7022D327DEC}"/>
    <cellStyle name="Normal 2 4 2 3 2 8 2" xfId="7572" xr:uid="{E52BF8C8-0DE1-4BF4-9B9F-797EA3478A18}"/>
    <cellStyle name="Normal 2 4 2 3 2 9" xfId="5506" xr:uid="{FD9058BE-1D4A-4CC4-8DEC-63774B282675}"/>
    <cellStyle name="Normal 2 4 2 3 3" xfId="289" xr:uid="{00000000-0005-0000-0000-0000F0010000}"/>
    <cellStyle name="Normal 2 4 2 3 3 2" xfId="290" xr:uid="{00000000-0005-0000-0000-0000F1010000}"/>
    <cellStyle name="Normal 2 4 2 3 3 2 2" xfId="786" xr:uid="{00000000-0005-0000-0000-0000F2010000}"/>
    <cellStyle name="Normal 2 4 2 3 3 2 2 2" xfId="3852" xr:uid="{79FC5775-5D7F-43E1-A419-9AE3228E830F}"/>
    <cellStyle name="Normal 2 4 2 3 3 2 2 2 2" xfId="8070" xr:uid="{BE76882F-92AC-4A68-9392-B39305317A8B}"/>
    <cellStyle name="Normal 2 4 2 3 3 2 2 3" xfId="5925" xr:uid="{80D7EB9A-6C46-4D98-8806-80C8F984676A}"/>
    <cellStyle name="Normal 2 4 2 3 3 2 2 4" xfId="1623" xr:uid="{24D284D9-1795-4C84-AEC8-E5985A12EE6D}"/>
    <cellStyle name="Normal 2 4 2 3 3 2 3" xfId="2036" xr:uid="{B396FEF9-8D89-41FD-B79A-93CA7D1C6EC9}"/>
    <cellStyle name="Normal 2 4 2 3 3 2 3 2" xfId="4265" xr:uid="{A164C67E-398E-4A4B-842C-A70AD7313B36}"/>
    <cellStyle name="Normal 2 4 2 3 3 2 3 2 2" xfId="8483" xr:uid="{9F1FF181-9880-4B9C-9612-C7213308825F}"/>
    <cellStyle name="Normal 2 4 2 3 3 2 3 3" xfId="6338" xr:uid="{4116BF5D-ABE1-4661-8789-7209791E1CC7}"/>
    <cellStyle name="Normal 2 4 2 3 3 2 4" xfId="2449" xr:uid="{A2906F56-3002-499A-A015-35A8321940F5}"/>
    <cellStyle name="Normal 2 4 2 3 3 2 4 2" xfId="4678" xr:uid="{13C9C78C-F0CC-4ADA-9C1A-F3CD50C4E0EE}"/>
    <cellStyle name="Normal 2 4 2 3 3 2 4 2 2" xfId="8896" xr:uid="{FD5502C1-AD89-44BB-98D6-2E795509F3AA}"/>
    <cellStyle name="Normal 2 4 2 3 3 2 4 3" xfId="6751" xr:uid="{D2BDB81D-EEA9-4633-A496-8DB700F61EBD}"/>
    <cellStyle name="Normal 2 4 2 3 3 2 5" xfId="2862" xr:uid="{32697C5F-6B92-4E69-9AB1-01D484EFB867}"/>
    <cellStyle name="Normal 2 4 2 3 3 2 5 2" xfId="5091" xr:uid="{EA638146-668D-48DC-B3DC-B4100879D694}"/>
    <cellStyle name="Normal 2 4 2 3 3 2 5 2 2" xfId="9309" xr:uid="{DAAF02D6-4135-4972-94C4-CD3D0C90DEE1}"/>
    <cellStyle name="Normal 2 4 2 3 3 2 5 3" xfId="7164" xr:uid="{78D29217-52D4-4C88-BB24-7804524E8FFF}"/>
    <cellStyle name="Normal 2 4 2 3 3 2 6" xfId="3298" xr:uid="{1C4D9D18-81C0-4313-9DF2-3B4D3C19D315}"/>
    <cellStyle name="Normal 2 4 2 3 3 2 6 2" xfId="7577" xr:uid="{C8C7EF90-5FF0-4964-BF7D-801565383D18}"/>
    <cellStyle name="Normal 2 4 2 3 3 2 7" xfId="5511" xr:uid="{5CDDCDE7-6644-4283-8226-F6891CA3929B}"/>
    <cellStyle name="Normal 2 4 2 3 3 2 8" xfId="1207" xr:uid="{BC128FED-E5DC-4C87-9CE5-F0E48AD8C834}"/>
    <cellStyle name="Normal 2 4 2 3 3 3" xfId="785" xr:uid="{00000000-0005-0000-0000-0000F3010000}"/>
    <cellStyle name="Normal 2 4 2 3 3 3 2" xfId="3851" xr:uid="{3EE37FAA-D602-4D97-816D-CBF181F227BD}"/>
    <cellStyle name="Normal 2 4 2 3 3 3 2 2" xfId="8069" xr:uid="{D3C45C3E-00B7-419F-AEFE-7CEB46716FE0}"/>
    <cellStyle name="Normal 2 4 2 3 3 3 3" xfId="5924" xr:uid="{DB3B5521-F605-488F-9A36-7500C11DAC7C}"/>
    <cellStyle name="Normal 2 4 2 3 3 3 4" xfId="1622" xr:uid="{A287E1C1-7B8D-4926-BBCC-B33DB6715DF4}"/>
    <cellStyle name="Normal 2 4 2 3 3 4" xfId="2035" xr:uid="{63FE13BC-7454-4900-A768-CC50116983F9}"/>
    <cellStyle name="Normal 2 4 2 3 3 4 2" xfId="4264" xr:uid="{62A37163-259D-4C18-A001-58EAC6538FF5}"/>
    <cellStyle name="Normal 2 4 2 3 3 4 2 2" xfId="8482" xr:uid="{4492022F-E95C-43A0-B687-E76557C19FD8}"/>
    <cellStyle name="Normal 2 4 2 3 3 4 3" xfId="6337" xr:uid="{782E1BD0-F0FD-4F64-829D-36E73855C1D0}"/>
    <cellStyle name="Normal 2 4 2 3 3 5" xfId="2448" xr:uid="{19F9B7EA-D112-4E17-91F7-3CF7EED4830A}"/>
    <cellStyle name="Normal 2 4 2 3 3 5 2" xfId="4677" xr:uid="{8F960E04-F822-4A3C-818B-F310E05C5CB6}"/>
    <cellStyle name="Normal 2 4 2 3 3 5 2 2" xfId="8895" xr:uid="{DA4461D4-8319-4ACA-A7AF-358BF5DF492D}"/>
    <cellStyle name="Normal 2 4 2 3 3 5 3" xfId="6750" xr:uid="{1805E302-57D9-42E2-A14D-ECB059094891}"/>
    <cellStyle name="Normal 2 4 2 3 3 6" xfId="2861" xr:uid="{3472D616-8788-4F54-A90F-6FFED10B7113}"/>
    <cellStyle name="Normal 2 4 2 3 3 6 2" xfId="5090" xr:uid="{7D863590-039C-4EDC-86F0-6B4F44A90DF9}"/>
    <cellStyle name="Normal 2 4 2 3 3 6 2 2" xfId="9308" xr:uid="{7CC4D3B9-6D21-4D5E-8B22-1365E07FC3D5}"/>
    <cellStyle name="Normal 2 4 2 3 3 6 3" xfId="7163" xr:uid="{F7E17BA5-767D-48A6-969E-29822C775E14}"/>
    <cellStyle name="Normal 2 4 2 3 3 7" xfId="3297" xr:uid="{F5C1225A-D07C-493C-B51C-850400DEF026}"/>
    <cellStyle name="Normal 2 4 2 3 3 7 2" xfId="7576" xr:uid="{AA3CEF4F-9758-4370-B84B-30F752AADB22}"/>
    <cellStyle name="Normal 2 4 2 3 3 8" xfId="5510" xr:uid="{865359EB-2E9B-4D31-9B86-10560954BCD5}"/>
    <cellStyle name="Normal 2 4 2 3 3 9" xfId="1206" xr:uid="{C155C44A-42BB-4A5A-88A3-CAC86D2FBD7D}"/>
    <cellStyle name="Normal 2 4 2 3 4" xfId="291" xr:uid="{00000000-0005-0000-0000-0000F4010000}"/>
    <cellStyle name="Normal 2 4 2 3 4 2" xfId="787" xr:uid="{00000000-0005-0000-0000-0000F5010000}"/>
    <cellStyle name="Normal 2 4 2 3 4 2 2" xfId="3853" xr:uid="{6F934909-800C-4E1A-9565-6610FD7BBAD7}"/>
    <cellStyle name="Normal 2 4 2 3 4 2 2 2" xfId="8071" xr:uid="{955F7AFB-037F-429C-9C11-A46DE4F7D1A1}"/>
    <cellStyle name="Normal 2 4 2 3 4 2 3" xfId="5926" xr:uid="{68D5F009-39F5-45D0-83F7-D40B1043E899}"/>
    <cellStyle name="Normal 2 4 2 3 4 2 4" xfId="1624" xr:uid="{6381A8ED-B038-49E6-9428-732532B963BE}"/>
    <cellStyle name="Normal 2 4 2 3 4 3" xfId="2037" xr:uid="{E3F78EAE-0A21-4EF1-A5A5-16AD528EF0E4}"/>
    <cellStyle name="Normal 2 4 2 3 4 3 2" xfId="4266" xr:uid="{1FDEC247-8F45-4D4F-85DA-40A711766115}"/>
    <cellStyle name="Normal 2 4 2 3 4 3 2 2" xfId="8484" xr:uid="{D5B7935E-F0D4-4025-8FA2-E5106AAF169B}"/>
    <cellStyle name="Normal 2 4 2 3 4 3 3" xfId="6339" xr:uid="{BBE245DF-7109-42A0-BB14-EC9A4B902E29}"/>
    <cellStyle name="Normal 2 4 2 3 4 4" xfId="2450" xr:uid="{AD9CDC19-6403-482B-8F82-B4F3FD09FABF}"/>
    <cellStyle name="Normal 2 4 2 3 4 4 2" xfId="4679" xr:uid="{3A2F3FCC-088A-45C9-ACD9-EE34B454369A}"/>
    <cellStyle name="Normal 2 4 2 3 4 4 2 2" xfId="8897" xr:uid="{A32D4298-8E77-4111-8FDB-88722D50A83A}"/>
    <cellStyle name="Normal 2 4 2 3 4 4 3" xfId="6752" xr:uid="{0945F929-D08F-4FBC-9A21-D6BA5CEF45CA}"/>
    <cellStyle name="Normal 2 4 2 3 4 5" xfId="2863" xr:uid="{199C1169-2E11-426A-A05E-D9AC1EEF1B9F}"/>
    <cellStyle name="Normal 2 4 2 3 4 5 2" xfId="5092" xr:uid="{288A610C-4804-4A96-A8C4-E940D35C29F9}"/>
    <cellStyle name="Normal 2 4 2 3 4 5 2 2" xfId="9310" xr:uid="{EB8C053F-D69F-41F7-80B0-35082D26DC33}"/>
    <cellStyle name="Normal 2 4 2 3 4 5 3" xfId="7165" xr:uid="{4EA97D29-38BE-4B78-A5AE-B95A62D1A2D9}"/>
    <cellStyle name="Normal 2 4 2 3 4 6" xfId="3299" xr:uid="{895BB593-B969-451F-873F-77FC2B7C6812}"/>
    <cellStyle name="Normal 2 4 2 3 4 6 2" xfId="7578" xr:uid="{23D17F55-1062-40E6-862F-4756D769DF93}"/>
    <cellStyle name="Normal 2 4 2 3 4 7" xfId="5512" xr:uid="{35A50622-B948-4780-B978-891BB3EA08CF}"/>
    <cellStyle name="Normal 2 4 2 3 4 8" xfId="1208" xr:uid="{3D66C5E4-0851-4005-B04C-582C22BE52C9}"/>
    <cellStyle name="Normal 2 4 2 3 5" xfId="780" xr:uid="{00000000-0005-0000-0000-0000F6010000}"/>
    <cellStyle name="Normal 2 4 2 3 5 2" xfId="3846" xr:uid="{8ED21FDF-AF8A-4269-9E8C-D47B4995936B}"/>
    <cellStyle name="Normal 2 4 2 3 5 2 2" xfId="8064" xr:uid="{BF317247-4FDD-43FB-A6B3-80731EE8CDB8}"/>
    <cellStyle name="Normal 2 4 2 3 5 3" xfId="5919" xr:uid="{86E96B4D-3EA7-405E-A3BA-8DB4B148ED05}"/>
    <cellStyle name="Normal 2 4 2 3 5 4" xfId="1617" xr:uid="{CE64FA4C-4DAC-48D6-9C58-F9B766F8FEDD}"/>
    <cellStyle name="Normal 2 4 2 3 6" xfId="2030" xr:uid="{0613D59D-5774-41B6-9349-CA3E856195D5}"/>
    <cellStyle name="Normal 2 4 2 3 6 2" xfId="4259" xr:uid="{78BB6183-E87D-4BE1-AEE3-460E5651CAF9}"/>
    <cellStyle name="Normal 2 4 2 3 6 2 2" xfId="8477" xr:uid="{4703CE0C-B3C1-4BE4-B8C4-FD5101524EDF}"/>
    <cellStyle name="Normal 2 4 2 3 6 3" xfId="6332" xr:uid="{F2F91B29-3D55-4CBB-A46E-E74559275741}"/>
    <cellStyle name="Normal 2 4 2 3 7" xfId="2443" xr:uid="{57167DD1-323E-4D95-9DD6-D037F8ACDFF5}"/>
    <cellStyle name="Normal 2 4 2 3 7 2" xfId="4672" xr:uid="{B24C2941-7C37-4D96-8CCD-A14D55FEE1D3}"/>
    <cellStyle name="Normal 2 4 2 3 7 2 2" xfId="8890" xr:uid="{D9C14443-141B-4905-9323-C2E3EA1F25C7}"/>
    <cellStyle name="Normal 2 4 2 3 7 3" xfId="6745" xr:uid="{CB77F22C-B63D-4EF1-9CF1-4B5257FB3A2F}"/>
    <cellStyle name="Normal 2 4 2 3 8" xfId="2856" xr:uid="{5D182BC1-5A4E-45D4-BED9-8B892CD1C663}"/>
    <cellStyle name="Normal 2 4 2 3 8 2" xfId="5085" xr:uid="{003DD1A9-70B6-49FA-98A7-2C243D2DD832}"/>
    <cellStyle name="Normal 2 4 2 3 8 2 2" xfId="9303" xr:uid="{55279D05-68EA-4C9D-A7F8-D677EE1BBD2A}"/>
    <cellStyle name="Normal 2 4 2 3 8 3" xfId="7158" xr:uid="{2AD1F727-D6F4-4AA3-89AD-E5591FB255FD}"/>
    <cellStyle name="Normal 2 4 2 3 9" xfId="3292" xr:uid="{BD8012B8-8E47-4161-915F-1717173F32B4}"/>
    <cellStyle name="Normal 2 4 2 3 9 2" xfId="7571" xr:uid="{83EED607-D97D-41C5-B659-87F79ABE9750}"/>
    <cellStyle name="Normal 2 4 2 4" xfId="292" xr:uid="{00000000-0005-0000-0000-0000F7010000}"/>
    <cellStyle name="Normal 2 4 2 4 10" xfId="1209" xr:uid="{3C8CF4B9-0BC1-414A-8A9F-0E4883215A68}"/>
    <cellStyle name="Normal 2 4 2 4 2" xfId="293" xr:uid="{00000000-0005-0000-0000-0000F8010000}"/>
    <cellStyle name="Normal 2 4 2 4 2 2" xfId="294" xr:uid="{00000000-0005-0000-0000-0000F9010000}"/>
    <cellStyle name="Normal 2 4 2 4 2 2 2" xfId="790" xr:uid="{00000000-0005-0000-0000-0000FA010000}"/>
    <cellStyle name="Normal 2 4 2 4 2 2 2 2" xfId="3856" xr:uid="{79A5EF4C-FF27-4E9E-942D-5EC63FE2A595}"/>
    <cellStyle name="Normal 2 4 2 4 2 2 2 2 2" xfId="8074" xr:uid="{B74120C1-AE9C-4332-A2D7-824CB95EC118}"/>
    <cellStyle name="Normal 2 4 2 4 2 2 2 3" xfId="5929" xr:uid="{22DCBD26-B169-46D9-9572-2EEB3506F6DF}"/>
    <cellStyle name="Normal 2 4 2 4 2 2 2 4" xfId="1627" xr:uid="{67F5C25D-5161-4D71-AA04-243F3DD7D76C}"/>
    <cellStyle name="Normal 2 4 2 4 2 2 3" xfId="2040" xr:uid="{0310F09F-B9A5-4C7D-A1A1-4777F10E64D9}"/>
    <cellStyle name="Normal 2 4 2 4 2 2 3 2" xfId="4269" xr:uid="{07219B8A-0497-48DF-A699-A8D0F2A75F30}"/>
    <cellStyle name="Normal 2 4 2 4 2 2 3 2 2" xfId="8487" xr:uid="{2602DCD8-5A9C-4C52-BF57-35E79A6358CA}"/>
    <cellStyle name="Normal 2 4 2 4 2 2 3 3" xfId="6342" xr:uid="{C51BF5B7-DA60-465B-9BD7-7B47A45309C1}"/>
    <cellStyle name="Normal 2 4 2 4 2 2 4" xfId="2453" xr:uid="{B3C8441E-6B2D-4ABE-A711-A3580760CFE7}"/>
    <cellStyle name="Normal 2 4 2 4 2 2 4 2" xfId="4682" xr:uid="{1ECDEAEF-305B-4C27-81F7-1754EB2E99A2}"/>
    <cellStyle name="Normal 2 4 2 4 2 2 4 2 2" xfId="8900" xr:uid="{F3DBB96B-12F0-4F75-B649-7D74EEC91358}"/>
    <cellStyle name="Normal 2 4 2 4 2 2 4 3" xfId="6755" xr:uid="{58470251-2D7A-46EF-A995-2F605F63417F}"/>
    <cellStyle name="Normal 2 4 2 4 2 2 5" xfId="2866" xr:uid="{BB0B850A-4C2C-48D7-B1ED-3857F1D37B39}"/>
    <cellStyle name="Normal 2 4 2 4 2 2 5 2" xfId="5095" xr:uid="{681E9B3E-D45A-4FF7-87DB-C14DA988E1FD}"/>
    <cellStyle name="Normal 2 4 2 4 2 2 5 2 2" xfId="9313" xr:uid="{21E6DB85-164B-4EC8-AC32-B4FF26CD02ED}"/>
    <cellStyle name="Normal 2 4 2 4 2 2 5 3" xfId="7168" xr:uid="{C6B06132-F16A-4627-8F92-B46C4E8196CA}"/>
    <cellStyle name="Normal 2 4 2 4 2 2 6" xfId="3302" xr:uid="{8D42FF8B-2A8A-4BC0-A166-F6BDE3E305E1}"/>
    <cellStyle name="Normal 2 4 2 4 2 2 6 2" xfId="7581" xr:uid="{3513DC11-C2EC-4521-923D-72E52C096643}"/>
    <cellStyle name="Normal 2 4 2 4 2 2 7" xfId="5515" xr:uid="{60FEDF22-1B5C-4120-A14E-9526F541B7A8}"/>
    <cellStyle name="Normal 2 4 2 4 2 2 8" xfId="1211" xr:uid="{7322C137-C4FA-4C03-BF6E-34788AA9D761}"/>
    <cellStyle name="Normal 2 4 2 4 2 3" xfId="789" xr:uid="{00000000-0005-0000-0000-0000FB010000}"/>
    <cellStyle name="Normal 2 4 2 4 2 3 2" xfId="3855" xr:uid="{FF8E47B9-73F6-4AEA-BE6B-578D2A6DC991}"/>
    <cellStyle name="Normal 2 4 2 4 2 3 2 2" xfId="8073" xr:uid="{93520651-DE90-450D-A730-0519494B10F2}"/>
    <cellStyle name="Normal 2 4 2 4 2 3 3" xfId="5928" xr:uid="{D49F1AE0-A383-4B6F-86F2-8A8899AB030B}"/>
    <cellStyle name="Normal 2 4 2 4 2 3 4" xfId="1626" xr:uid="{DCF4ABB9-CB41-41BE-865D-C3DC7AE126EF}"/>
    <cellStyle name="Normal 2 4 2 4 2 4" xfId="2039" xr:uid="{44CF0092-0C80-42F9-BEFB-1C9EB2BB2712}"/>
    <cellStyle name="Normal 2 4 2 4 2 4 2" xfId="4268" xr:uid="{80CC3349-A637-439C-83B7-212D269569A9}"/>
    <cellStyle name="Normal 2 4 2 4 2 4 2 2" xfId="8486" xr:uid="{FBDE78C3-7098-421E-9673-709A4E381AAE}"/>
    <cellStyle name="Normal 2 4 2 4 2 4 3" xfId="6341" xr:uid="{F497C127-DEFE-4FF7-9680-49A3A20564F5}"/>
    <cellStyle name="Normal 2 4 2 4 2 5" xfId="2452" xr:uid="{E472D9CB-CE55-4F9E-977A-3DA16DBBDBCE}"/>
    <cellStyle name="Normal 2 4 2 4 2 5 2" xfId="4681" xr:uid="{061A6505-1A51-432A-9E00-C582342C3DAF}"/>
    <cellStyle name="Normal 2 4 2 4 2 5 2 2" xfId="8899" xr:uid="{3FC91E22-052C-48CE-B2B4-C72D0309798E}"/>
    <cellStyle name="Normal 2 4 2 4 2 5 3" xfId="6754" xr:uid="{9A7C9C03-FCF0-40DA-8364-051748061827}"/>
    <cellStyle name="Normal 2 4 2 4 2 6" xfId="2865" xr:uid="{A9CC0EAA-CF96-41D9-BB29-408EDB02D81B}"/>
    <cellStyle name="Normal 2 4 2 4 2 6 2" xfId="5094" xr:uid="{A7755CE0-9C0B-434A-BAB7-BA8B6C0D9BB2}"/>
    <cellStyle name="Normal 2 4 2 4 2 6 2 2" xfId="9312" xr:uid="{7C568E9C-C658-4A13-9419-B7F13C44AC31}"/>
    <cellStyle name="Normal 2 4 2 4 2 6 3" xfId="7167" xr:uid="{FFD3C93B-872C-47A9-A3B5-0DCDB7F8046B}"/>
    <cellStyle name="Normal 2 4 2 4 2 7" xfId="3301" xr:uid="{4D32A0A1-FB05-4315-9FDF-5FDF1E1BF906}"/>
    <cellStyle name="Normal 2 4 2 4 2 7 2" xfId="7580" xr:uid="{CBFAEB70-D7E3-409D-87CE-DBED2D37AA75}"/>
    <cellStyle name="Normal 2 4 2 4 2 8" xfId="5514" xr:uid="{EF078C5B-5D46-472D-8EA9-4B8E32F2C4E1}"/>
    <cellStyle name="Normal 2 4 2 4 2 9" xfId="1210" xr:uid="{3352DC6E-0FD8-4D76-8561-D0419641CD22}"/>
    <cellStyle name="Normal 2 4 2 4 3" xfId="295" xr:uid="{00000000-0005-0000-0000-0000FC010000}"/>
    <cellStyle name="Normal 2 4 2 4 3 2" xfId="791" xr:uid="{00000000-0005-0000-0000-0000FD010000}"/>
    <cellStyle name="Normal 2 4 2 4 3 2 2" xfId="3857" xr:uid="{6F8CAB48-F276-456D-844D-5543F28AE666}"/>
    <cellStyle name="Normal 2 4 2 4 3 2 2 2" xfId="8075" xr:uid="{5F883793-9EB3-4E2A-BCCE-7B2A0AEED5D1}"/>
    <cellStyle name="Normal 2 4 2 4 3 2 3" xfId="5930" xr:uid="{7EC52CF6-8B25-4CB9-BE9C-C3CB838F300A}"/>
    <cellStyle name="Normal 2 4 2 4 3 2 4" xfId="1628" xr:uid="{5DA8C092-7354-49E8-B6C5-517E22E95273}"/>
    <cellStyle name="Normal 2 4 2 4 3 3" xfId="2041" xr:uid="{35A7438D-271B-4C7A-9C38-208140C98EF3}"/>
    <cellStyle name="Normal 2 4 2 4 3 3 2" xfId="4270" xr:uid="{6E60D280-84CC-4AC1-AE26-05824DFEBF6B}"/>
    <cellStyle name="Normal 2 4 2 4 3 3 2 2" xfId="8488" xr:uid="{517E8269-38BB-494C-AD02-E5F2FEF7A468}"/>
    <cellStyle name="Normal 2 4 2 4 3 3 3" xfId="6343" xr:uid="{13642463-B090-4D36-A4DC-9294B2A343B1}"/>
    <cellStyle name="Normal 2 4 2 4 3 4" xfId="2454" xr:uid="{75686676-AF23-47B9-B150-38D0DD0585E1}"/>
    <cellStyle name="Normal 2 4 2 4 3 4 2" xfId="4683" xr:uid="{5B3ACC7D-0315-413D-90E8-AAE9E105F5CC}"/>
    <cellStyle name="Normal 2 4 2 4 3 4 2 2" xfId="8901" xr:uid="{0A9D0023-1052-4776-AE08-A279A1156691}"/>
    <cellStyle name="Normal 2 4 2 4 3 4 3" xfId="6756" xr:uid="{E08751C9-8591-4392-8A47-08FC738C1BAE}"/>
    <cellStyle name="Normal 2 4 2 4 3 5" xfId="2867" xr:uid="{46DFA757-5769-4200-91AC-D53C658A84ED}"/>
    <cellStyle name="Normal 2 4 2 4 3 5 2" xfId="5096" xr:uid="{B1587241-5AA7-404D-A75A-E8C6DD80FC0D}"/>
    <cellStyle name="Normal 2 4 2 4 3 5 2 2" xfId="9314" xr:uid="{4019DFD8-9AFE-4CAE-B673-A27C79C742A9}"/>
    <cellStyle name="Normal 2 4 2 4 3 5 3" xfId="7169" xr:uid="{71007EDF-F21E-4085-9BD2-0D4571B642DF}"/>
    <cellStyle name="Normal 2 4 2 4 3 6" xfId="3303" xr:uid="{F2E465DA-48F4-4436-94A4-781194BF451E}"/>
    <cellStyle name="Normal 2 4 2 4 3 6 2" xfId="7582" xr:uid="{52EF751D-533C-4A9A-99CC-4EDDF516EFDB}"/>
    <cellStyle name="Normal 2 4 2 4 3 7" xfId="5516" xr:uid="{37BC5B0C-C777-4120-91FB-8B74DB54A23F}"/>
    <cellStyle name="Normal 2 4 2 4 3 8" xfId="1212" xr:uid="{D5BA5F12-67FD-48E0-8AB3-93CF8F4894F6}"/>
    <cellStyle name="Normal 2 4 2 4 4" xfId="788" xr:uid="{00000000-0005-0000-0000-0000FE010000}"/>
    <cellStyle name="Normal 2 4 2 4 4 2" xfId="3854" xr:uid="{3235F5D4-9020-4029-8335-8FEA5B53F32C}"/>
    <cellStyle name="Normal 2 4 2 4 4 2 2" xfId="8072" xr:uid="{173926F3-62DC-4AAD-87FF-A51DAFEAB3B4}"/>
    <cellStyle name="Normal 2 4 2 4 4 3" xfId="5927" xr:uid="{F980BC47-75AF-4CC7-A334-BFD84CCD51BE}"/>
    <cellStyle name="Normal 2 4 2 4 4 4" xfId="1625" xr:uid="{1E7EEBCD-ECD2-49B3-A6D7-453A5DF4EFC8}"/>
    <cellStyle name="Normal 2 4 2 4 5" xfId="2038" xr:uid="{55488176-078C-483F-9850-D4CEA2B2815F}"/>
    <cellStyle name="Normal 2 4 2 4 5 2" xfId="4267" xr:uid="{E3F59A2B-DA55-49F0-A090-0E52AED68219}"/>
    <cellStyle name="Normal 2 4 2 4 5 2 2" xfId="8485" xr:uid="{25BAFF2A-58A6-46AD-983D-D3DA70A95629}"/>
    <cellStyle name="Normal 2 4 2 4 5 3" xfId="6340" xr:uid="{45A5D596-827E-4EBA-8463-C08B4E8D6F5C}"/>
    <cellStyle name="Normal 2 4 2 4 6" xfId="2451" xr:uid="{EFDAC634-B91A-48BD-B87F-9ED06315E274}"/>
    <cellStyle name="Normal 2 4 2 4 6 2" xfId="4680" xr:uid="{F71EF4AF-F280-4672-AE76-FCBF76E1C419}"/>
    <cellStyle name="Normal 2 4 2 4 6 2 2" xfId="8898" xr:uid="{7F323441-42BC-4D78-ABEE-33EE28D36341}"/>
    <cellStyle name="Normal 2 4 2 4 6 3" xfId="6753" xr:uid="{6D911221-AAAA-41CA-8463-100C0F0E6AC0}"/>
    <cellStyle name="Normal 2 4 2 4 7" xfId="2864" xr:uid="{4A51964D-E275-4DD1-80F1-937738542F32}"/>
    <cellStyle name="Normal 2 4 2 4 7 2" xfId="5093" xr:uid="{30E47F76-43B7-48B7-8977-A63E516F6089}"/>
    <cellStyle name="Normal 2 4 2 4 7 2 2" xfId="9311" xr:uid="{3F727D9B-7421-40F5-9ED4-5215B5A51DAB}"/>
    <cellStyle name="Normal 2 4 2 4 7 3" xfId="7166" xr:uid="{EC283717-D516-4380-A0FD-AA9AA2190C82}"/>
    <cellStyle name="Normal 2 4 2 4 8" xfId="3300" xr:uid="{010AFACF-470F-464D-A24D-786BF723B9B9}"/>
    <cellStyle name="Normal 2 4 2 4 8 2" xfId="7579" xr:uid="{6C84541C-EDF3-45EA-A3AC-332AEAB4896D}"/>
    <cellStyle name="Normal 2 4 2 4 9" xfId="5513" xr:uid="{F37B2058-4CD2-4550-B52B-B83448C0702C}"/>
    <cellStyle name="Normal 2 4 2 5" xfId="296" xr:uid="{00000000-0005-0000-0000-0000FF010000}"/>
    <cellStyle name="Normal 2 4 2 5 2" xfId="297" xr:uid="{00000000-0005-0000-0000-000000020000}"/>
    <cellStyle name="Normal 2 4 2 5 2 2" xfId="793" xr:uid="{00000000-0005-0000-0000-000001020000}"/>
    <cellStyle name="Normal 2 4 2 5 2 2 2" xfId="3859" xr:uid="{59256395-5DDD-4260-98C0-19D3DC492FD5}"/>
    <cellStyle name="Normal 2 4 2 5 2 2 2 2" xfId="8077" xr:uid="{BF4CBDB3-B61B-420F-9B60-1442CFEB926D}"/>
    <cellStyle name="Normal 2 4 2 5 2 2 3" xfId="5932" xr:uid="{22CFF9C4-82BB-4281-AD4A-78BDDE51524C}"/>
    <cellStyle name="Normal 2 4 2 5 2 2 4" xfId="1630" xr:uid="{E03042B4-995D-46F0-AED1-28688B971C44}"/>
    <cellStyle name="Normal 2 4 2 5 2 3" xfId="2043" xr:uid="{CE9AC785-8EEC-4248-8C79-79EC5264F3DC}"/>
    <cellStyle name="Normal 2 4 2 5 2 3 2" xfId="4272" xr:uid="{1DD8AF1F-6E48-4EB5-89B3-D859358DBBAF}"/>
    <cellStyle name="Normal 2 4 2 5 2 3 2 2" xfId="8490" xr:uid="{3FED855A-1706-46B7-A1C6-EA178FE70CA1}"/>
    <cellStyle name="Normal 2 4 2 5 2 3 3" xfId="6345" xr:uid="{107FBEBA-3454-4FC3-AE7C-C72F8390E216}"/>
    <cellStyle name="Normal 2 4 2 5 2 4" xfId="2456" xr:uid="{F9269A28-BEFF-4363-98EB-81D499EE96D1}"/>
    <cellStyle name="Normal 2 4 2 5 2 4 2" xfId="4685" xr:uid="{7F0C5A0D-42D2-46A6-85FF-E61F06D64A60}"/>
    <cellStyle name="Normal 2 4 2 5 2 4 2 2" xfId="8903" xr:uid="{2E94EC3B-FD24-4749-936A-7CCB85EDAC58}"/>
    <cellStyle name="Normal 2 4 2 5 2 4 3" xfId="6758" xr:uid="{86E82865-A656-487C-A259-940F0B6B7A3E}"/>
    <cellStyle name="Normal 2 4 2 5 2 5" xfId="2869" xr:uid="{2EF07F7D-A4DC-4E8B-8581-1DEA20E94CEC}"/>
    <cellStyle name="Normal 2 4 2 5 2 5 2" xfId="5098" xr:uid="{7FD96948-C2F3-440A-B44E-8FAEA4FFAA56}"/>
    <cellStyle name="Normal 2 4 2 5 2 5 2 2" xfId="9316" xr:uid="{C016B56C-1714-4872-B599-0C1C88C2688D}"/>
    <cellStyle name="Normal 2 4 2 5 2 5 3" xfId="7171" xr:uid="{4FE6238C-6F69-4747-BB0E-FC42F35DB7FB}"/>
    <cellStyle name="Normal 2 4 2 5 2 6" xfId="3305" xr:uid="{69893ACB-7D9E-485A-A082-8C66B6C25896}"/>
    <cellStyle name="Normal 2 4 2 5 2 6 2" xfId="7584" xr:uid="{340578A8-9CBF-4904-8D6A-D115E1949D35}"/>
    <cellStyle name="Normal 2 4 2 5 2 7" xfId="5518" xr:uid="{078B1D19-8D2D-42B4-AFE8-56F7DDF0905E}"/>
    <cellStyle name="Normal 2 4 2 5 2 8" xfId="1214" xr:uid="{38C5C87F-D093-4080-B234-17D9A35F6EC9}"/>
    <cellStyle name="Normal 2 4 2 5 3" xfId="792" xr:uid="{00000000-0005-0000-0000-000002020000}"/>
    <cellStyle name="Normal 2 4 2 5 3 2" xfId="3858" xr:uid="{5BF2A02F-3069-4066-A17D-3C87715ED0A8}"/>
    <cellStyle name="Normal 2 4 2 5 3 2 2" xfId="8076" xr:uid="{D29532FE-FA19-4F87-93B7-AAAAF4B9D024}"/>
    <cellStyle name="Normal 2 4 2 5 3 3" xfId="5931" xr:uid="{4F5814F3-A096-4A47-AAAB-01E03896A423}"/>
    <cellStyle name="Normal 2 4 2 5 3 4" xfId="1629" xr:uid="{C173172A-2E8F-4F05-A17F-AB195A7C0BEC}"/>
    <cellStyle name="Normal 2 4 2 5 4" xfId="2042" xr:uid="{F3DE192D-C67E-42AF-AD78-FB3AA6C2E64D}"/>
    <cellStyle name="Normal 2 4 2 5 4 2" xfId="4271" xr:uid="{C07B2D5E-BD5A-4AEC-B0A6-71A7B64DD462}"/>
    <cellStyle name="Normal 2 4 2 5 4 2 2" xfId="8489" xr:uid="{78389AC7-AD59-4DE8-A328-BDAFD5F58C01}"/>
    <cellStyle name="Normal 2 4 2 5 4 3" xfId="6344" xr:uid="{E4423826-5695-40A2-A96D-3DBEF1E314AE}"/>
    <cellStyle name="Normal 2 4 2 5 5" xfId="2455" xr:uid="{7D2C4131-348A-4220-AEE1-028B46248D58}"/>
    <cellStyle name="Normal 2 4 2 5 5 2" xfId="4684" xr:uid="{E14E6187-40A9-4260-81C3-57FC3D8A0986}"/>
    <cellStyle name="Normal 2 4 2 5 5 2 2" xfId="8902" xr:uid="{F726FFEC-ED7D-42F3-A1F4-64A3E1ED437A}"/>
    <cellStyle name="Normal 2 4 2 5 5 3" xfId="6757" xr:uid="{4AF6E648-58C7-4E66-98A7-8F0B86B57F5E}"/>
    <cellStyle name="Normal 2 4 2 5 6" xfId="2868" xr:uid="{91693490-E01D-44FE-9144-0C92D78A5463}"/>
    <cellStyle name="Normal 2 4 2 5 6 2" xfId="5097" xr:uid="{568A2BF3-7775-404F-86A6-94CCCDCD8503}"/>
    <cellStyle name="Normal 2 4 2 5 6 2 2" xfId="9315" xr:uid="{F437844A-A9F4-4678-8635-90053AF7996C}"/>
    <cellStyle name="Normal 2 4 2 5 6 3" xfId="7170" xr:uid="{6EDC59F0-E9C7-45A7-A7DF-3BE9D926FD4D}"/>
    <cellStyle name="Normal 2 4 2 5 7" xfId="3304" xr:uid="{8B871D41-9DEB-448E-B070-FF02B1AC7BA9}"/>
    <cellStyle name="Normal 2 4 2 5 7 2" xfId="7583" xr:uid="{5A87E8C7-7CAC-4322-BFC5-F2192C204FE2}"/>
    <cellStyle name="Normal 2 4 2 5 8" xfId="5517" xr:uid="{59282463-A5EF-4968-AEAB-183420352754}"/>
    <cellStyle name="Normal 2 4 2 5 9" xfId="1213" xr:uid="{1005AB52-9963-4051-A275-78F9C0B98708}"/>
    <cellStyle name="Normal 2 4 2 6" xfId="298" xr:uid="{00000000-0005-0000-0000-000003020000}"/>
    <cellStyle name="Normal 2 4 2 6 2" xfId="794" xr:uid="{00000000-0005-0000-0000-000004020000}"/>
    <cellStyle name="Normal 2 4 2 6 2 2" xfId="3860" xr:uid="{D525E95F-0898-4D93-8403-BD82B279D693}"/>
    <cellStyle name="Normal 2 4 2 6 2 2 2" xfId="8078" xr:uid="{C30A53FD-2917-445A-9EF5-B5FA81B4B3E8}"/>
    <cellStyle name="Normal 2 4 2 6 2 3" xfId="5933" xr:uid="{7D553120-438C-41EF-A605-0EC2113A1211}"/>
    <cellStyle name="Normal 2 4 2 6 2 4" xfId="1631" xr:uid="{329C5FB8-E964-440D-B330-D2544F23E5F9}"/>
    <cellStyle name="Normal 2 4 2 6 3" xfId="2044" xr:uid="{E5DA2E29-7512-44C2-BA83-D09814E20833}"/>
    <cellStyle name="Normal 2 4 2 6 3 2" xfId="4273" xr:uid="{3C65E753-4717-4E33-BC92-31E2D7C5F198}"/>
    <cellStyle name="Normal 2 4 2 6 3 2 2" xfId="8491" xr:uid="{95C3AEE1-8944-474B-9EF5-9A7D5481CC70}"/>
    <cellStyle name="Normal 2 4 2 6 3 3" xfId="6346" xr:uid="{23DA4B2B-C5DE-4EF5-80F0-54E5C6B3D593}"/>
    <cellStyle name="Normal 2 4 2 6 4" xfId="2457" xr:uid="{B49D1D7D-4761-4022-82CA-CA536B4D3ACF}"/>
    <cellStyle name="Normal 2 4 2 6 4 2" xfId="4686" xr:uid="{21C40CB0-E73C-462F-8249-BB038DD656D5}"/>
    <cellStyle name="Normal 2 4 2 6 4 2 2" xfId="8904" xr:uid="{32FDD7A8-241E-4A14-A8FA-51A8416012E1}"/>
    <cellStyle name="Normal 2 4 2 6 4 3" xfId="6759" xr:uid="{7EC32F19-B3B6-4C5A-BD35-EA5F57734045}"/>
    <cellStyle name="Normal 2 4 2 6 5" xfId="2870" xr:uid="{4C4CF091-BE15-4F95-AEDE-D31C2C3962AE}"/>
    <cellStyle name="Normal 2 4 2 6 5 2" xfId="5099" xr:uid="{4C9DA20A-3603-4361-A6D2-0FB59FBCF76A}"/>
    <cellStyle name="Normal 2 4 2 6 5 2 2" xfId="9317" xr:uid="{C9827A09-B395-4F29-A867-040C65CA4932}"/>
    <cellStyle name="Normal 2 4 2 6 5 3" xfId="7172" xr:uid="{2B425F0E-C458-4BCF-AF45-D73DC9D017D3}"/>
    <cellStyle name="Normal 2 4 2 6 6" xfId="3306" xr:uid="{C55BD459-A594-4C9D-946F-CB00DA3430C4}"/>
    <cellStyle name="Normal 2 4 2 6 6 2" xfId="7585" xr:uid="{A03CBB61-E0E5-4565-A6E0-92CB45052F2A}"/>
    <cellStyle name="Normal 2 4 2 6 7" xfId="5519" xr:uid="{9CB7A91D-FB84-448C-AE67-C273CDA39BA2}"/>
    <cellStyle name="Normal 2 4 2 6 8" xfId="1215" xr:uid="{62225033-BC10-4401-844A-53DFC06C49F9}"/>
    <cellStyle name="Normal 2 4 2 7" xfId="779" xr:uid="{00000000-0005-0000-0000-000005020000}"/>
    <cellStyle name="Normal 2 4 2 7 2" xfId="3845" xr:uid="{4813238F-7E8A-4BB9-BAFA-93654F827F25}"/>
    <cellStyle name="Normal 2 4 2 7 2 2" xfId="8063" xr:uid="{DE3BD718-8ED5-44EA-98B8-D1E88D32F7B4}"/>
    <cellStyle name="Normal 2 4 2 7 3" xfId="5918" xr:uid="{12B36830-5462-4550-B4AE-DC1ADE26E468}"/>
    <cellStyle name="Normal 2 4 2 7 4" xfId="1616" xr:uid="{13EC6802-B200-4F7D-9294-758F75D4F388}"/>
    <cellStyle name="Normal 2 4 2 8" xfId="2029" xr:uid="{1A63D4DB-D4D9-4C94-8FCB-F0FF243BA893}"/>
    <cellStyle name="Normal 2 4 2 8 2" xfId="4258" xr:uid="{FEA0C75E-F8D3-47AF-9857-B47B7D747011}"/>
    <cellStyle name="Normal 2 4 2 8 2 2" xfId="8476" xr:uid="{1528ED13-267C-4240-A07E-57C75D48F287}"/>
    <cellStyle name="Normal 2 4 2 8 3" xfId="6331" xr:uid="{30734BB4-28C6-438F-9667-EDBB194686CC}"/>
    <cellStyle name="Normal 2 4 2 9" xfId="2442" xr:uid="{5AF4A2E1-1627-4A5A-A62B-2B25867E4623}"/>
    <cellStyle name="Normal 2 4 2 9 2" xfId="4671" xr:uid="{4AAFFA19-5D2A-464F-98EE-C09285132BDE}"/>
    <cellStyle name="Normal 2 4 2 9 2 2" xfId="8889" xr:uid="{5C50CC96-19A5-4402-BC8C-69FB2899B9DE}"/>
    <cellStyle name="Normal 2 4 2 9 3" xfId="6744" xr:uid="{49D28233-60CC-4D78-8C07-56D6830A0699}"/>
    <cellStyle name="Normal 2 4 3" xfId="299" xr:uid="{00000000-0005-0000-0000-000006020000}"/>
    <cellStyle name="Normal 2 4 3 10" xfId="1216" xr:uid="{A32DB89E-8118-408E-AC5A-49AB44093E81}"/>
    <cellStyle name="Normal 2 4 3 2" xfId="300" xr:uid="{00000000-0005-0000-0000-000007020000}"/>
    <cellStyle name="Normal 2 4 3 3" xfId="301" xr:uid="{00000000-0005-0000-0000-000008020000}"/>
    <cellStyle name="Normal 2 4 3 3 10" xfId="1217" xr:uid="{418B4F30-3DC5-403F-8D20-0DDF3EDB544D}"/>
    <cellStyle name="Normal 2 4 3 3 2" xfId="302" xr:uid="{00000000-0005-0000-0000-000009020000}"/>
    <cellStyle name="Normal 2 4 3 3 2 2" xfId="303" xr:uid="{00000000-0005-0000-0000-00000A020000}"/>
    <cellStyle name="Normal 2 4 3 3 2 2 2" xfId="798" xr:uid="{00000000-0005-0000-0000-00000B020000}"/>
    <cellStyle name="Normal 2 4 3 3 2 2 2 2" xfId="3864" xr:uid="{85883A09-ABA9-4A7F-9A5B-085E421150CE}"/>
    <cellStyle name="Normal 2 4 3 3 2 2 2 2 2" xfId="8082" xr:uid="{2243161A-192E-4378-A5B1-9CFF860FE495}"/>
    <cellStyle name="Normal 2 4 3 3 2 2 2 3" xfId="5937" xr:uid="{E2C36EA1-2AC5-40C1-9DA7-FB095C8810DC}"/>
    <cellStyle name="Normal 2 4 3 3 2 2 2 4" xfId="1635" xr:uid="{B4046687-AE21-4BC7-90A5-FB3BA1498F49}"/>
    <cellStyle name="Normal 2 4 3 3 2 2 3" xfId="2048" xr:uid="{85848A13-3D24-4D84-9F6C-F7B932B66E3A}"/>
    <cellStyle name="Normal 2 4 3 3 2 2 3 2" xfId="4277" xr:uid="{FE39A015-4B14-4199-BAA7-FA6B16A8ECB4}"/>
    <cellStyle name="Normal 2 4 3 3 2 2 3 2 2" xfId="8495" xr:uid="{526403F2-180D-4FB4-AC42-C588E388135D}"/>
    <cellStyle name="Normal 2 4 3 3 2 2 3 3" xfId="6350" xr:uid="{28604017-035B-4E28-BA72-D14AAF9BBB56}"/>
    <cellStyle name="Normal 2 4 3 3 2 2 4" xfId="2461" xr:uid="{1347612C-CAFC-49F6-A7D2-8D67FA172FFA}"/>
    <cellStyle name="Normal 2 4 3 3 2 2 4 2" xfId="4690" xr:uid="{412781B2-72D6-473D-9095-C8946A32EB47}"/>
    <cellStyle name="Normal 2 4 3 3 2 2 4 2 2" xfId="8908" xr:uid="{1D74B37B-0D07-4722-9E73-5A5B7B0B4A5F}"/>
    <cellStyle name="Normal 2 4 3 3 2 2 4 3" xfId="6763" xr:uid="{52D7E029-7581-4761-BBED-C5198806B99E}"/>
    <cellStyle name="Normal 2 4 3 3 2 2 5" xfId="2874" xr:uid="{18E2879C-A48F-465D-936C-16EE2895E547}"/>
    <cellStyle name="Normal 2 4 3 3 2 2 5 2" xfId="5103" xr:uid="{CD78CD75-E80D-4E19-AEEC-02D7274FC734}"/>
    <cellStyle name="Normal 2 4 3 3 2 2 5 2 2" xfId="9321" xr:uid="{355950BA-6FF8-4905-A57A-2EBE91DD1798}"/>
    <cellStyle name="Normal 2 4 3 3 2 2 5 3" xfId="7176" xr:uid="{B7615988-50BA-4C89-AF1B-E23D4DCD1918}"/>
    <cellStyle name="Normal 2 4 3 3 2 2 6" xfId="3310" xr:uid="{AA77260E-B308-4F8C-A8AC-BD04F3878422}"/>
    <cellStyle name="Normal 2 4 3 3 2 2 6 2" xfId="7589" xr:uid="{51005441-C03C-404F-8DC8-3FA8C796966C}"/>
    <cellStyle name="Normal 2 4 3 3 2 2 7" xfId="5523" xr:uid="{B0704B44-5097-44FD-8F2B-F97F4D8BF4CA}"/>
    <cellStyle name="Normal 2 4 3 3 2 2 8" xfId="1219" xr:uid="{BC0E3D1F-DADA-4711-99D8-6C7518EEA7A5}"/>
    <cellStyle name="Normal 2 4 3 3 2 3" xfId="797" xr:uid="{00000000-0005-0000-0000-00000C020000}"/>
    <cellStyle name="Normal 2 4 3 3 2 3 2" xfId="3863" xr:uid="{3DE16099-1E9A-464F-9243-B5702970CA43}"/>
    <cellStyle name="Normal 2 4 3 3 2 3 2 2" xfId="8081" xr:uid="{96A0A888-6D6A-4942-A758-9290F650C4E8}"/>
    <cellStyle name="Normal 2 4 3 3 2 3 3" xfId="5936" xr:uid="{C2401B38-81DA-449C-A8DA-3D808B18A934}"/>
    <cellStyle name="Normal 2 4 3 3 2 3 4" xfId="1634" xr:uid="{35722371-60FB-4F50-87C9-3E49CC5232CC}"/>
    <cellStyle name="Normal 2 4 3 3 2 4" xfId="2047" xr:uid="{C8E32D30-4F63-4C23-B343-361BD2401AC1}"/>
    <cellStyle name="Normal 2 4 3 3 2 4 2" xfId="4276" xr:uid="{9339F935-37BE-43BC-9708-A56E4CE2DC49}"/>
    <cellStyle name="Normal 2 4 3 3 2 4 2 2" xfId="8494" xr:uid="{599CE352-7366-413F-893F-FF45197CF222}"/>
    <cellStyle name="Normal 2 4 3 3 2 4 3" xfId="6349" xr:uid="{BEA2184B-D54E-449E-81F1-B20A59AD88C4}"/>
    <cellStyle name="Normal 2 4 3 3 2 5" xfId="2460" xr:uid="{A476C923-6E14-4338-B136-6B8C90360CAA}"/>
    <cellStyle name="Normal 2 4 3 3 2 5 2" xfId="4689" xr:uid="{843AFD2D-A09D-4251-B5DE-304DCAA9450B}"/>
    <cellStyle name="Normal 2 4 3 3 2 5 2 2" xfId="8907" xr:uid="{2FE53138-D3FB-496A-ACFF-3404BD93FC31}"/>
    <cellStyle name="Normal 2 4 3 3 2 5 3" xfId="6762" xr:uid="{0A1BA979-3F69-455C-87B1-ED528A7EE774}"/>
    <cellStyle name="Normal 2 4 3 3 2 6" xfId="2873" xr:uid="{C124483F-C84D-4951-8CE2-7DBEAF6EDE21}"/>
    <cellStyle name="Normal 2 4 3 3 2 6 2" xfId="5102" xr:uid="{23A54663-AEEA-4B3D-A413-0D72BAB1DB7C}"/>
    <cellStyle name="Normal 2 4 3 3 2 6 2 2" xfId="9320" xr:uid="{EA721A9A-DFB5-4E4C-B17D-1622D194E4E1}"/>
    <cellStyle name="Normal 2 4 3 3 2 6 3" xfId="7175" xr:uid="{30C842E2-8D9E-4B03-B156-E686F56DD783}"/>
    <cellStyle name="Normal 2 4 3 3 2 7" xfId="3309" xr:uid="{58BA48F8-6AE3-4F0B-AD7C-D00716192C80}"/>
    <cellStyle name="Normal 2 4 3 3 2 7 2" xfId="7588" xr:uid="{8C3DADA1-7D88-47D1-9EB7-F9C98A12C463}"/>
    <cellStyle name="Normal 2 4 3 3 2 8" xfId="5522" xr:uid="{126FD526-E32F-4555-B58D-46BD853FEA6A}"/>
    <cellStyle name="Normal 2 4 3 3 2 9" xfId="1218" xr:uid="{377BD5B1-66DB-49E8-94A8-7CB350687B52}"/>
    <cellStyle name="Normal 2 4 3 3 3" xfId="304" xr:uid="{00000000-0005-0000-0000-00000D020000}"/>
    <cellStyle name="Normal 2 4 3 3 3 2" xfId="799" xr:uid="{00000000-0005-0000-0000-00000E020000}"/>
    <cellStyle name="Normal 2 4 3 3 3 2 2" xfId="3865" xr:uid="{125F9649-A4FD-49F9-BE03-AFC24B2E954D}"/>
    <cellStyle name="Normal 2 4 3 3 3 2 2 2" xfId="8083" xr:uid="{6E4D0E3D-C52E-4B58-9543-3362D2803545}"/>
    <cellStyle name="Normal 2 4 3 3 3 2 3" xfId="5938" xr:uid="{D0FA8BEA-BDD3-4D68-AB13-7FAB56B2A585}"/>
    <cellStyle name="Normal 2 4 3 3 3 2 4" xfId="1636" xr:uid="{72D36521-F939-41FA-A7FA-15346BA2DBDD}"/>
    <cellStyle name="Normal 2 4 3 3 3 3" xfId="2049" xr:uid="{8C281457-901C-419E-A49F-54DFCAC1F371}"/>
    <cellStyle name="Normal 2 4 3 3 3 3 2" xfId="4278" xr:uid="{9F4A3ED5-CE0D-4C79-96AD-0B1ED26E9274}"/>
    <cellStyle name="Normal 2 4 3 3 3 3 2 2" xfId="8496" xr:uid="{D7DB92BE-1284-4F75-8609-07964F0268CF}"/>
    <cellStyle name="Normal 2 4 3 3 3 3 3" xfId="6351" xr:uid="{15F223D5-16D3-4EB0-904C-26B68D0764DD}"/>
    <cellStyle name="Normal 2 4 3 3 3 4" xfId="2462" xr:uid="{697BB693-7F64-4C31-B73B-17BECFCA8DB9}"/>
    <cellStyle name="Normal 2 4 3 3 3 4 2" xfId="4691" xr:uid="{70E96808-ECE1-44B4-993C-EF66781290A4}"/>
    <cellStyle name="Normal 2 4 3 3 3 4 2 2" xfId="8909" xr:uid="{58D6A068-6518-4B5D-BA5C-10417FDD945F}"/>
    <cellStyle name="Normal 2 4 3 3 3 4 3" xfId="6764" xr:uid="{875DE55F-635D-4D51-9418-29126581F6F9}"/>
    <cellStyle name="Normal 2 4 3 3 3 5" xfId="2875" xr:uid="{6EFF567E-3ABE-47CF-BABD-D9C713CF47F9}"/>
    <cellStyle name="Normal 2 4 3 3 3 5 2" xfId="5104" xr:uid="{B11FC70B-FC79-434D-BF32-D969D2B473E0}"/>
    <cellStyle name="Normal 2 4 3 3 3 5 2 2" xfId="9322" xr:uid="{3FAC65D1-865C-43FE-9775-BE3FB3A2A06B}"/>
    <cellStyle name="Normal 2 4 3 3 3 5 3" xfId="7177" xr:uid="{4CF2F165-702C-4F4F-947E-A0A60B579A88}"/>
    <cellStyle name="Normal 2 4 3 3 3 6" xfId="3311" xr:uid="{3CC86BD0-9F6A-41A1-B149-A87B13D1C716}"/>
    <cellStyle name="Normal 2 4 3 3 3 6 2" xfId="7590" xr:uid="{CEC295F5-B386-452C-B13C-F74289C726B4}"/>
    <cellStyle name="Normal 2 4 3 3 3 7" xfId="5524" xr:uid="{33539C92-5082-4514-B39F-AF355DFB9919}"/>
    <cellStyle name="Normal 2 4 3 3 3 8" xfId="1220" xr:uid="{17E28860-FCF6-43EA-B59E-28A6A9286245}"/>
    <cellStyle name="Normal 2 4 3 3 4" xfId="796" xr:uid="{00000000-0005-0000-0000-00000F020000}"/>
    <cellStyle name="Normal 2 4 3 3 4 2" xfId="3862" xr:uid="{68529271-8D0B-457F-A71F-53C5CD18620A}"/>
    <cellStyle name="Normal 2 4 3 3 4 2 2" xfId="8080" xr:uid="{720D5A55-A835-49F6-AC63-AE7FFFE5F7EB}"/>
    <cellStyle name="Normal 2 4 3 3 4 3" xfId="5935" xr:uid="{78099B5E-290B-45B8-9E45-B9344C01E1DB}"/>
    <cellStyle name="Normal 2 4 3 3 4 4" xfId="1633" xr:uid="{1C470F51-CAAE-4E10-861E-BDDFB2959E03}"/>
    <cellStyle name="Normal 2 4 3 3 5" xfId="2046" xr:uid="{6FE2046A-92FB-4D75-A562-BD02A23E45AA}"/>
    <cellStyle name="Normal 2 4 3 3 5 2" xfId="4275" xr:uid="{144A431D-0DD8-4A8C-A3DB-1728FFACFA9E}"/>
    <cellStyle name="Normal 2 4 3 3 5 2 2" xfId="8493" xr:uid="{5696543C-28A2-4275-84E2-14ACDAC4B9DA}"/>
    <cellStyle name="Normal 2 4 3 3 5 3" xfId="6348" xr:uid="{DEF037CC-3099-4658-B371-A3EBE6CFB5FD}"/>
    <cellStyle name="Normal 2 4 3 3 6" xfId="2459" xr:uid="{996D48DC-A21D-4706-93A7-F8B66096534D}"/>
    <cellStyle name="Normal 2 4 3 3 6 2" xfId="4688" xr:uid="{FE51D5DF-6D9E-477C-A3DF-95E077CACBF4}"/>
    <cellStyle name="Normal 2 4 3 3 6 2 2" xfId="8906" xr:uid="{68B08A06-D6A2-4257-AB37-EE5E330C7F48}"/>
    <cellStyle name="Normal 2 4 3 3 6 3" xfId="6761" xr:uid="{929193EF-6743-4F08-9F88-0C2B23981FD2}"/>
    <cellStyle name="Normal 2 4 3 3 7" xfId="2872" xr:uid="{BEDFE477-8AA6-4608-8B9D-D3BD433899CD}"/>
    <cellStyle name="Normal 2 4 3 3 7 2" xfId="5101" xr:uid="{85263F44-83EC-4995-9719-0E9A6AD688F6}"/>
    <cellStyle name="Normal 2 4 3 3 7 2 2" xfId="9319" xr:uid="{7FCFF79C-BE7C-4B41-AA0E-B3AAE8F5057F}"/>
    <cellStyle name="Normal 2 4 3 3 7 3" xfId="7174" xr:uid="{C714B0A5-5571-4127-B452-33B95F09E01C}"/>
    <cellStyle name="Normal 2 4 3 3 8" xfId="3308" xr:uid="{8A31ECC9-9AB8-4586-8356-8C09F84CD46F}"/>
    <cellStyle name="Normal 2 4 3 3 8 2" xfId="7587" xr:uid="{3778D022-61E2-40D5-AF94-FAC0F1803763}"/>
    <cellStyle name="Normal 2 4 3 3 9" xfId="5521" xr:uid="{FFF6A5B9-4EBC-4745-B510-2229BBBC0C8D}"/>
    <cellStyle name="Normal 2 4 3 4" xfId="795" xr:uid="{00000000-0005-0000-0000-000010020000}"/>
    <cellStyle name="Normal 2 4 3 4 2" xfId="3861" xr:uid="{F1F7072E-8CCC-4B4A-BB0D-6EEB9735F3D0}"/>
    <cellStyle name="Normal 2 4 3 4 2 2" xfId="8079" xr:uid="{A4D38347-4343-471A-AED4-FBCDD1C19126}"/>
    <cellStyle name="Normal 2 4 3 4 3" xfId="5934" xr:uid="{EEA6D7D5-BB04-4CA1-9573-D3E4EC08ECCC}"/>
    <cellStyle name="Normal 2 4 3 4 4" xfId="1632" xr:uid="{F8FBBCF9-774D-498C-830B-094EE250872D}"/>
    <cellStyle name="Normal 2 4 3 5" xfId="2045" xr:uid="{A5FE8ACB-3B9F-4547-89BE-4B209DC32F86}"/>
    <cellStyle name="Normal 2 4 3 5 2" xfId="4274" xr:uid="{7B7CB9C7-5166-4C0B-A033-557CF158E035}"/>
    <cellStyle name="Normal 2 4 3 5 2 2" xfId="8492" xr:uid="{F415D551-6940-4869-BF92-ACACC859AC56}"/>
    <cellStyle name="Normal 2 4 3 5 3" xfId="6347" xr:uid="{36AF9021-3111-4CAC-BB74-859E95647391}"/>
    <cellStyle name="Normal 2 4 3 6" xfId="2458" xr:uid="{21DD2687-6B1A-4DD7-B377-F11804BDDC51}"/>
    <cellStyle name="Normal 2 4 3 6 2" xfId="4687" xr:uid="{DF5276AC-9259-4747-9A99-9ED217FAF775}"/>
    <cellStyle name="Normal 2 4 3 6 2 2" xfId="8905" xr:uid="{D34AD2BF-6F52-4334-B8BC-84074DDF9E8E}"/>
    <cellStyle name="Normal 2 4 3 6 3" xfId="6760" xr:uid="{2365D998-9B33-4A17-A7AE-DB7E5A056EE1}"/>
    <cellStyle name="Normal 2 4 3 7" xfId="2871" xr:uid="{16AFF382-0C33-454D-BC1A-653DCBA3EB0D}"/>
    <cellStyle name="Normal 2 4 3 7 2" xfId="5100" xr:uid="{349077FD-7690-4A9D-8502-77B063A522A2}"/>
    <cellStyle name="Normal 2 4 3 7 2 2" xfId="9318" xr:uid="{C6B8D97E-B47F-4A3F-B917-36436C411E55}"/>
    <cellStyle name="Normal 2 4 3 7 3" xfId="7173" xr:uid="{23148608-4048-49CD-A32F-CBD76ADC3838}"/>
    <cellStyle name="Normal 2 4 3 8" xfId="3307" xr:uid="{A1FAE333-CC06-4F1B-A7D1-016F23037D84}"/>
    <cellStyle name="Normal 2 4 3 8 2" xfId="7586" xr:uid="{C03E7FC5-AD58-4657-B704-B9AC54806ADE}"/>
    <cellStyle name="Normal 2 4 3 9" xfId="5520" xr:uid="{85E0740C-F1B2-4F92-A70C-1AE63FEE2173}"/>
    <cellStyle name="Normal 2 4 4" xfId="305" xr:uid="{00000000-0005-0000-0000-000011020000}"/>
    <cellStyle name="Normal 2 4 5" xfId="306" xr:uid="{00000000-0005-0000-0000-000012020000}"/>
    <cellStyle name="Normal 2 4 5 10" xfId="5525" xr:uid="{E5D83526-D075-4896-BAC1-82005EE6B36A}"/>
    <cellStyle name="Normal 2 4 5 11" xfId="1221" xr:uid="{8439BEC3-F418-47EB-8C38-831B0A81B8CB}"/>
    <cellStyle name="Normal 2 4 5 2" xfId="307" xr:uid="{00000000-0005-0000-0000-000013020000}"/>
    <cellStyle name="Normal 2 4 5 2 10" xfId="1222" xr:uid="{17553FE9-D9FE-4046-8FB5-25BD0D778DCF}"/>
    <cellStyle name="Normal 2 4 5 2 2" xfId="308" xr:uid="{00000000-0005-0000-0000-000014020000}"/>
    <cellStyle name="Normal 2 4 5 2 2 2" xfId="309" xr:uid="{00000000-0005-0000-0000-000015020000}"/>
    <cellStyle name="Normal 2 4 5 2 2 2 2" xfId="803" xr:uid="{00000000-0005-0000-0000-000016020000}"/>
    <cellStyle name="Normal 2 4 5 2 2 2 2 2" xfId="3869" xr:uid="{BF16CC8C-3B11-49C1-A25C-D9F80D0A330C}"/>
    <cellStyle name="Normal 2 4 5 2 2 2 2 2 2" xfId="8087" xr:uid="{EA1FBA98-9316-4ACE-A50F-2BCDAFA2A719}"/>
    <cellStyle name="Normal 2 4 5 2 2 2 2 3" xfId="5942" xr:uid="{C457F5C2-607A-48CF-9F11-5734E95E0C35}"/>
    <cellStyle name="Normal 2 4 5 2 2 2 2 4" xfId="1640" xr:uid="{8A7C3ABB-3217-423C-B970-20ACA92F365D}"/>
    <cellStyle name="Normal 2 4 5 2 2 2 3" xfId="2053" xr:uid="{46A0B993-BDC4-4D63-BE1B-B2ECE1864BFF}"/>
    <cellStyle name="Normal 2 4 5 2 2 2 3 2" xfId="4282" xr:uid="{7953EE6E-3CCC-40B4-958C-22D084362825}"/>
    <cellStyle name="Normal 2 4 5 2 2 2 3 2 2" xfId="8500" xr:uid="{E3F4A48F-072C-43AB-BC6C-59302AE9F86A}"/>
    <cellStyle name="Normal 2 4 5 2 2 2 3 3" xfId="6355" xr:uid="{CD33C2E5-E9FB-4209-A291-981F4CB480B6}"/>
    <cellStyle name="Normal 2 4 5 2 2 2 4" xfId="2466" xr:uid="{F0EDBB45-F38C-4538-A5B9-E12C8A58DDC3}"/>
    <cellStyle name="Normal 2 4 5 2 2 2 4 2" xfId="4695" xr:uid="{3825E809-831C-4C68-BC69-FEB591858791}"/>
    <cellStyle name="Normal 2 4 5 2 2 2 4 2 2" xfId="8913" xr:uid="{63AF2984-42B7-4A99-94A8-4CBA5A0A5D20}"/>
    <cellStyle name="Normal 2 4 5 2 2 2 4 3" xfId="6768" xr:uid="{AD008BB2-5831-487B-B39D-BCE7FDD4F06B}"/>
    <cellStyle name="Normal 2 4 5 2 2 2 5" xfId="2879" xr:uid="{80551FC9-6763-4B9E-98E6-207BC5B86F84}"/>
    <cellStyle name="Normal 2 4 5 2 2 2 5 2" xfId="5108" xr:uid="{A158859E-B309-470E-9FE7-201E5BD5D9DE}"/>
    <cellStyle name="Normal 2 4 5 2 2 2 5 2 2" xfId="9326" xr:uid="{215F4EF1-0F7A-483E-86AA-4B693F43AC88}"/>
    <cellStyle name="Normal 2 4 5 2 2 2 5 3" xfId="7181" xr:uid="{9B628EE4-198D-49F2-8063-CFA9E7B76CCC}"/>
    <cellStyle name="Normal 2 4 5 2 2 2 6" xfId="3315" xr:uid="{802CC203-39F5-4B94-8360-E98FA279C25C}"/>
    <cellStyle name="Normal 2 4 5 2 2 2 6 2" xfId="7594" xr:uid="{3F7D26E0-5F28-4FEE-94FE-EDBDDCE5E6DA}"/>
    <cellStyle name="Normal 2 4 5 2 2 2 7" xfId="5528" xr:uid="{079542AA-5A3E-4FE8-9EE1-AAE210F2FAD7}"/>
    <cellStyle name="Normal 2 4 5 2 2 2 8" xfId="1224" xr:uid="{A136E955-6F97-48A3-9B15-F3E1B9CAC4AC}"/>
    <cellStyle name="Normal 2 4 5 2 2 3" xfId="802" xr:uid="{00000000-0005-0000-0000-000017020000}"/>
    <cellStyle name="Normal 2 4 5 2 2 3 2" xfId="3868" xr:uid="{63432A4B-A058-4243-9073-4D0BA27AC605}"/>
    <cellStyle name="Normal 2 4 5 2 2 3 2 2" xfId="8086" xr:uid="{13DA1B53-FC22-4D1F-A290-D7891BB924ED}"/>
    <cellStyle name="Normal 2 4 5 2 2 3 3" xfId="5941" xr:uid="{D45DE0C3-BB74-4D69-BC6D-4EA1E5CFD524}"/>
    <cellStyle name="Normal 2 4 5 2 2 3 4" xfId="1639" xr:uid="{C1BBB826-3F91-4FE9-9185-E3528F51F0AF}"/>
    <cellStyle name="Normal 2 4 5 2 2 4" xfId="2052" xr:uid="{EB7ED7E1-BF25-443A-82DA-92A8620C32A1}"/>
    <cellStyle name="Normal 2 4 5 2 2 4 2" xfId="4281" xr:uid="{1B924436-97C8-4B02-814B-35E91018DB18}"/>
    <cellStyle name="Normal 2 4 5 2 2 4 2 2" xfId="8499" xr:uid="{70C56BBB-AB0C-498F-BB90-A47C5434AAB0}"/>
    <cellStyle name="Normal 2 4 5 2 2 4 3" xfId="6354" xr:uid="{0F795A80-B9ED-41B3-90C7-B0D6BB7E5055}"/>
    <cellStyle name="Normal 2 4 5 2 2 5" xfId="2465" xr:uid="{A8DB373A-6517-451E-B70B-8194EEC4EAAA}"/>
    <cellStyle name="Normal 2 4 5 2 2 5 2" xfId="4694" xr:uid="{95E76882-EC35-4722-B600-CD42BE9E8155}"/>
    <cellStyle name="Normal 2 4 5 2 2 5 2 2" xfId="8912" xr:uid="{B377811F-712D-4B4D-8DE8-4C6F420F7BFC}"/>
    <cellStyle name="Normal 2 4 5 2 2 5 3" xfId="6767" xr:uid="{7D5143FC-1BC8-414A-8578-A5C621E19FE7}"/>
    <cellStyle name="Normal 2 4 5 2 2 6" xfId="2878" xr:uid="{CE1E5117-DE45-48A7-909E-931E51BC45D7}"/>
    <cellStyle name="Normal 2 4 5 2 2 6 2" xfId="5107" xr:uid="{464E7DAD-DB02-4FA4-9F03-175AB4955635}"/>
    <cellStyle name="Normal 2 4 5 2 2 6 2 2" xfId="9325" xr:uid="{3352CBFD-E064-4364-AA84-6064F5937D64}"/>
    <cellStyle name="Normal 2 4 5 2 2 6 3" xfId="7180" xr:uid="{99356494-1A58-4ECB-9B94-AD10226A110D}"/>
    <cellStyle name="Normal 2 4 5 2 2 7" xfId="3314" xr:uid="{CA096DDD-15C9-4131-B362-96BD00F660E7}"/>
    <cellStyle name="Normal 2 4 5 2 2 7 2" xfId="7593" xr:uid="{3F92313B-84C1-46F7-96F2-E10DD3E5E3F5}"/>
    <cellStyle name="Normal 2 4 5 2 2 8" xfId="5527" xr:uid="{0493B41B-6F43-425E-B933-3A966080D1D1}"/>
    <cellStyle name="Normal 2 4 5 2 2 9" xfId="1223" xr:uid="{83D36EE6-AF96-491E-976F-175F810BF030}"/>
    <cellStyle name="Normal 2 4 5 2 3" xfId="310" xr:uid="{00000000-0005-0000-0000-000018020000}"/>
    <cellStyle name="Normal 2 4 5 2 3 2" xfId="804" xr:uid="{00000000-0005-0000-0000-000019020000}"/>
    <cellStyle name="Normal 2 4 5 2 3 2 2" xfId="3870" xr:uid="{EE7717E4-87F2-473D-A9DE-D3FD9A0297ED}"/>
    <cellStyle name="Normal 2 4 5 2 3 2 2 2" xfId="8088" xr:uid="{60C8A6BC-2BB9-4A19-BA51-5C4128749D46}"/>
    <cellStyle name="Normal 2 4 5 2 3 2 3" xfId="5943" xr:uid="{5537AD14-6B21-4396-95D3-84F2F577AF00}"/>
    <cellStyle name="Normal 2 4 5 2 3 2 4" xfId="1641" xr:uid="{1523D509-525B-4916-8544-881ADE4871A4}"/>
    <cellStyle name="Normal 2 4 5 2 3 3" xfId="2054" xr:uid="{6EEFC719-8D7E-49B9-BE03-126A3FBE07E6}"/>
    <cellStyle name="Normal 2 4 5 2 3 3 2" xfId="4283" xr:uid="{192500B7-B90E-458C-A4A6-AD2B4E671639}"/>
    <cellStyle name="Normal 2 4 5 2 3 3 2 2" xfId="8501" xr:uid="{75787E02-32D3-4F38-81F5-3978EBAF19E0}"/>
    <cellStyle name="Normal 2 4 5 2 3 3 3" xfId="6356" xr:uid="{F63B0CFB-824E-4058-9A6F-BD1AF2FB3769}"/>
    <cellStyle name="Normal 2 4 5 2 3 4" xfId="2467" xr:uid="{FD24D35F-54BC-49C2-A593-BA2428D5ECDF}"/>
    <cellStyle name="Normal 2 4 5 2 3 4 2" xfId="4696" xr:uid="{C5FFCED7-CE52-4234-9D79-AA55DAACB5AD}"/>
    <cellStyle name="Normal 2 4 5 2 3 4 2 2" xfId="8914" xr:uid="{0ABBC980-1192-4C04-B541-10AF98274329}"/>
    <cellStyle name="Normal 2 4 5 2 3 4 3" xfId="6769" xr:uid="{35BDA8C6-0BCD-43FE-95B5-4FEF5160AC4E}"/>
    <cellStyle name="Normal 2 4 5 2 3 5" xfId="2880" xr:uid="{9BB4C56E-65A0-4EE6-AE7C-218281559852}"/>
    <cellStyle name="Normal 2 4 5 2 3 5 2" xfId="5109" xr:uid="{7BF1655E-CD1B-4917-8AD0-514C13C9F152}"/>
    <cellStyle name="Normal 2 4 5 2 3 5 2 2" xfId="9327" xr:uid="{1A49A846-A959-4B93-B76D-61A03187AB60}"/>
    <cellStyle name="Normal 2 4 5 2 3 5 3" xfId="7182" xr:uid="{B906699B-D3AB-4DC2-BA76-409DE5E6590C}"/>
    <cellStyle name="Normal 2 4 5 2 3 6" xfId="3316" xr:uid="{72F165D5-3B8D-478B-BD85-3691F2821CB2}"/>
    <cellStyle name="Normal 2 4 5 2 3 6 2" xfId="7595" xr:uid="{51B2095E-2ACA-4E7A-AD62-770EDDC022C8}"/>
    <cellStyle name="Normal 2 4 5 2 3 7" xfId="5529" xr:uid="{9F7297AF-0B48-4F95-8E37-FB971A14E5C4}"/>
    <cellStyle name="Normal 2 4 5 2 3 8" xfId="1225" xr:uid="{856600C1-C010-41AB-94C9-E28F6C113DB1}"/>
    <cellStyle name="Normal 2 4 5 2 4" xfId="801" xr:uid="{00000000-0005-0000-0000-00001A020000}"/>
    <cellStyle name="Normal 2 4 5 2 4 2" xfId="3867" xr:uid="{ADAF96A9-F756-4EA0-B062-065A1F306FA0}"/>
    <cellStyle name="Normal 2 4 5 2 4 2 2" xfId="8085" xr:uid="{085441BF-7945-4010-9623-3118A742E1E3}"/>
    <cellStyle name="Normal 2 4 5 2 4 3" xfId="5940" xr:uid="{A9F4813B-F04A-4D88-8775-676B5AB8B42E}"/>
    <cellStyle name="Normal 2 4 5 2 4 4" xfId="1638" xr:uid="{7D50DC17-24CE-407E-9B6C-8C6A2F575092}"/>
    <cellStyle name="Normal 2 4 5 2 5" xfId="2051" xr:uid="{5CBF7CB9-0A18-4BC1-87CF-AB0DF7E025AC}"/>
    <cellStyle name="Normal 2 4 5 2 5 2" xfId="4280" xr:uid="{B401E018-5C4D-4199-8820-20F79474C87C}"/>
    <cellStyle name="Normal 2 4 5 2 5 2 2" xfId="8498" xr:uid="{51718609-0405-4E0A-92C7-D474BB83C3DB}"/>
    <cellStyle name="Normal 2 4 5 2 5 3" xfId="6353" xr:uid="{49402692-260A-4269-814F-27425A5B434F}"/>
    <cellStyle name="Normal 2 4 5 2 6" xfId="2464" xr:uid="{95578B44-CB63-4236-8F19-A63599A6D193}"/>
    <cellStyle name="Normal 2 4 5 2 6 2" xfId="4693" xr:uid="{F46FE9DC-A70E-4F02-A14E-6AAADE4D0A10}"/>
    <cellStyle name="Normal 2 4 5 2 6 2 2" xfId="8911" xr:uid="{EE96EE19-AB02-4511-BB51-4BC9680077B8}"/>
    <cellStyle name="Normal 2 4 5 2 6 3" xfId="6766" xr:uid="{FCF7E167-5E3B-45A0-93E2-219042B288F9}"/>
    <cellStyle name="Normal 2 4 5 2 7" xfId="2877" xr:uid="{8691824C-642A-4012-B6F9-4387EC3A1BCD}"/>
    <cellStyle name="Normal 2 4 5 2 7 2" xfId="5106" xr:uid="{5C240241-7A09-428C-91B4-6D2D0EF0506D}"/>
    <cellStyle name="Normal 2 4 5 2 7 2 2" xfId="9324" xr:uid="{C773105E-F7E1-4B08-9468-745D98679706}"/>
    <cellStyle name="Normal 2 4 5 2 7 3" xfId="7179" xr:uid="{85F21BDD-34AF-4231-82C7-81FE59739B4A}"/>
    <cellStyle name="Normal 2 4 5 2 8" xfId="3313" xr:uid="{912F972A-294F-4617-9730-44B65885EEBC}"/>
    <cellStyle name="Normal 2 4 5 2 8 2" xfId="7592" xr:uid="{5E18B7CC-FFD4-4C91-AA23-E167CB0C6D7E}"/>
    <cellStyle name="Normal 2 4 5 2 9" xfId="5526" xr:uid="{24C0AC71-F574-4986-9021-DD2B6DB0D4DA}"/>
    <cellStyle name="Normal 2 4 5 3" xfId="311" xr:uid="{00000000-0005-0000-0000-00001B020000}"/>
    <cellStyle name="Normal 2 4 5 3 2" xfId="312" xr:uid="{00000000-0005-0000-0000-00001C020000}"/>
    <cellStyle name="Normal 2 4 5 3 2 2" xfId="806" xr:uid="{00000000-0005-0000-0000-00001D020000}"/>
    <cellStyle name="Normal 2 4 5 3 2 2 2" xfId="3872" xr:uid="{25526F38-8A8E-48E0-818F-8D3D2DA66EFF}"/>
    <cellStyle name="Normal 2 4 5 3 2 2 2 2" xfId="8090" xr:uid="{4314F6FD-CD63-413B-A81C-A1FFED36FE2E}"/>
    <cellStyle name="Normal 2 4 5 3 2 2 3" xfId="5945" xr:uid="{25FEED71-D04D-4AD9-BCF6-D9ED6C46E851}"/>
    <cellStyle name="Normal 2 4 5 3 2 2 4" xfId="1643" xr:uid="{9730BD1D-E9C7-466F-9E8D-B9EF3F3D0174}"/>
    <cellStyle name="Normal 2 4 5 3 2 3" xfId="2056" xr:uid="{256B4F5A-EE56-4DC3-9D16-737990A20EA1}"/>
    <cellStyle name="Normal 2 4 5 3 2 3 2" xfId="4285" xr:uid="{EB6256C4-BA51-4847-BBB6-B1F42E205AB4}"/>
    <cellStyle name="Normal 2 4 5 3 2 3 2 2" xfId="8503" xr:uid="{CD449837-DA0F-49D0-A5C0-E023B485EC35}"/>
    <cellStyle name="Normal 2 4 5 3 2 3 3" xfId="6358" xr:uid="{084B0970-DDBB-46E5-90DA-D7376CCEFD8C}"/>
    <cellStyle name="Normal 2 4 5 3 2 4" xfId="2469" xr:uid="{DCBADD8D-1E7E-4865-8A45-7D8DDAEE826B}"/>
    <cellStyle name="Normal 2 4 5 3 2 4 2" xfId="4698" xr:uid="{6225FBA9-9484-4263-8651-3AAC5AD95FBB}"/>
    <cellStyle name="Normal 2 4 5 3 2 4 2 2" xfId="8916" xr:uid="{6CAD9277-B9CA-4DF9-BE30-65BB1FF9E796}"/>
    <cellStyle name="Normal 2 4 5 3 2 4 3" xfId="6771" xr:uid="{E8A65088-77D7-4D68-968D-DC1863EA4B89}"/>
    <cellStyle name="Normal 2 4 5 3 2 5" xfId="2882" xr:uid="{5B693F63-6100-4475-B1D5-2DA09892D121}"/>
    <cellStyle name="Normal 2 4 5 3 2 5 2" xfId="5111" xr:uid="{02BC6804-9194-46F6-BE0A-C46BB0CCEC2B}"/>
    <cellStyle name="Normal 2 4 5 3 2 5 2 2" xfId="9329" xr:uid="{E93EC0D2-5A46-4F76-A1A5-BF9E468F218C}"/>
    <cellStyle name="Normal 2 4 5 3 2 5 3" xfId="7184" xr:uid="{C4796E16-362A-452D-AE38-B3C92E2A9EE7}"/>
    <cellStyle name="Normal 2 4 5 3 2 6" xfId="3318" xr:uid="{E5A053DC-2EE5-4F78-8ACE-01680490E13A}"/>
    <cellStyle name="Normal 2 4 5 3 2 6 2" xfId="7597" xr:uid="{9066052C-C670-4FEA-BFBF-313ED53E7522}"/>
    <cellStyle name="Normal 2 4 5 3 2 7" xfId="5531" xr:uid="{E1DA78CF-09BA-4EC2-97F1-AD102520CAD2}"/>
    <cellStyle name="Normal 2 4 5 3 2 8" xfId="1227" xr:uid="{3D28ADB0-4E6B-4C9F-A0BC-B08B9FF53B0E}"/>
    <cellStyle name="Normal 2 4 5 3 3" xfId="805" xr:uid="{00000000-0005-0000-0000-00001E020000}"/>
    <cellStyle name="Normal 2 4 5 3 3 2" xfId="3871" xr:uid="{D6506D16-C70A-4FB4-8B38-2B0A3D4193DF}"/>
    <cellStyle name="Normal 2 4 5 3 3 2 2" xfId="8089" xr:uid="{B7D075C0-42A1-45D5-ACE4-238FB3505E95}"/>
    <cellStyle name="Normal 2 4 5 3 3 3" xfId="5944" xr:uid="{34257057-91FB-4EC8-ADE7-10053DE584A8}"/>
    <cellStyle name="Normal 2 4 5 3 3 4" xfId="1642" xr:uid="{5F0118F2-717A-4A28-A66D-C4AEAE83270F}"/>
    <cellStyle name="Normal 2 4 5 3 4" xfId="2055" xr:uid="{B023FF78-012D-4C5D-9505-6D8A8764E5CE}"/>
    <cellStyle name="Normal 2 4 5 3 4 2" xfId="4284" xr:uid="{B8EF23B5-19FD-4A41-A163-C1FA62D60E8A}"/>
    <cellStyle name="Normal 2 4 5 3 4 2 2" xfId="8502" xr:uid="{346455F6-EF06-4481-BFB8-69B5A476BF84}"/>
    <cellStyle name="Normal 2 4 5 3 4 3" xfId="6357" xr:uid="{67DEB33E-7529-4614-B6F4-D8B139659A8E}"/>
    <cellStyle name="Normal 2 4 5 3 5" xfId="2468" xr:uid="{59F9C03D-D299-49D4-9ABD-AF149FB0BEA8}"/>
    <cellStyle name="Normal 2 4 5 3 5 2" xfId="4697" xr:uid="{3EB53D03-4D45-43CA-B82F-0B6B74199446}"/>
    <cellStyle name="Normal 2 4 5 3 5 2 2" xfId="8915" xr:uid="{569D551E-D6F0-49F1-8396-443A05C4F748}"/>
    <cellStyle name="Normal 2 4 5 3 5 3" xfId="6770" xr:uid="{C0AED8DC-756D-4025-954F-BAB32494E0FC}"/>
    <cellStyle name="Normal 2 4 5 3 6" xfId="2881" xr:uid="{77849596-ADDF-4D68-B7DA-A11299524A43}"/>
    <cellStyle name="Normal 2 4 5 3 6 2" xfId="5110" xr:uid="{501CF63E-9B00-4CA9-9855-165B20184E22}"/>
    <cellStyle name="Normal 2 4 5 3 6 2 2" xfId="9328" xr:uid="{053906EC-ECF1-4162-AC07-B231C7AD6F81}"/>
    <cellStyle name="Normal 2 4 5 3 6 3" xfId="7183" xr:uid="{CC91627C-8EE9-4211-8FF0-558D33FC3F29}"/>
    <cellStyle name="Normal 2 4 5 3 7" xfId="3317" xr:uid="{94407531-63AA-467A-903A-697B3E76132D}"/>
    <cellStyle name="Normal 2 4 5 3 7 2" xfId="7596" xr:uid="{B8D50576-575B-4847-8295-2504AAE7ED49}"/>
    <cellStyle name="Normal 2 4 5 3 8" xfId="5530" xr:uid="{92CE0887-5066-494E-A8B2-94F2CDFD6FAB}"/>
    <cellStyle name="Normal 2 4 5 3 9" xfId="1226" xr:uid="{F4FBD734-9894-450F-8807-7D25F60C673B}"/>
    <cellStyle name="Normal 2 4 5 4" xfId="313" xr:uid="{00000000-0005-0000-0000-00001F020000}"/>
    <cellStyle name="Normal 2 4 5 4 2" xfId="807" xr:uid="{00000000-0005-0000-0000-000020020000}"/>
    <cellStyle name="Normal 2 4 5 4 2 2" xfId="3873" xr:uid="{F06DB6CE-C02E-4352-B997-1EC25B406C2E}"/>
    <cellStyle name="Normal 2 4 5 4 2 2 2" xfId="8091" xr:uid="{06FF7BDB-2C6D-4430-8690-7C2E6D857D71}"/>
    <cellStyle name="Normal 2 4 5 4 2 3" xfId="5946" xr:uid="{631F1809-4432-47B0-BFC4-BA565767DC0A}"/>
    <cellStyle name="Normal 2 4 5 4 2 4" xfId="1644" xr:uid="{7649FAFB-947F-4B79-8ADE-64605D35D572}"/>
    <cellStyle name="Normal 2 4 5 4 3" xfId="2057" xr:uid="{E1CCC8E2-F355-427E-BDF0-3903EEBF3436}"/>
    <cellStyle name="Normal 2 4 5 4 3 2" xfId="4286" xr:uid="{89EF0A7B-BA35-4171-9976-C3BCFBBCE915}"/>
    <cellStyle name="Normal 2 4 5 4 3 2 2" xfId="8504" xr:uid="{7B7D0C81-5A25-43B1-95A3-78BCF7269082}"/>
    <cellStyle name="Normal 2 4 5 4 3 3" xfId="6359" xr:uid="{4A43F3BA-DB1E-4F62-A7CC-EEC3A4BBE898}"/>
    <cellStyle name="Normal 2 4 5 4 4" xfId="2470" xr:uid="{A3F46584-BEB4-481F-B9B2-27E05CA53F66}"/>
    <cellStyle name="Normal 2 4 5 4 4 2" xfId="4699" xr:uid="{8AD0D71D-AE0C-4D2F-A682-55BDBE7FF4F3}"/>
    <cellStyle name="Normal 2 4 5 4 4 2 2" xfId="8917" xr:uid="{17FB57CD-1CF5-4166-8967-24133E375E10}"/>
    <cellStyle name="Normal 2 4 5 4 4 3" xfId="6772" xr:uid="{FC8A56D5-FC35-48E0-A24B-3B70B16FC609}"/>
    <cellStyle name="Normal 2 4 5 4 5" xfId="2883" xr:uid="{7F95145A-04D0-457C-A9A3-97A8C468BD34}"/>
    <cellStyle name="Normal 2 4 5 4 5 2" xfId="5112" xr:uid="{E59BFFFB-D35D-4E70-BA7A-959C80D5BC4B}"/>
    <cellStyle name="Normal 2 4 5 4 5 2 2" xfId="9330" xr:uid="{AA83A2AF-1092-451A-89BC-2DE3B69A17F9}"/>
    <cellStyle name="Normal 2 4 5 4 5 3" xfId="7185" xr:uid="{B8472F30-A473-404E-9F3E-1B7DDAF91E9F}"/>
    <cellStyle name="Normal 2 4 5 4 6" xfId="3319" xr:uid="{7B8F2709-6EF8-4F0A-AD8C-84B18D24692B}"/>
    <cellStyle name="Normal 2 4 5 4 6 2" xfId="7598" xr:uid="{CA9FB0F2-5644-4250-8F92-7D21A9F3A316}"/>
    <cellStyle name="Normal 2 4 5 4 7" xfId="5532" xr:uid="{3E15EE96-110D-4A92-951E-F403EB506A1D}"/>
    <cellStyle name="Normal 2 4 5 4 8" xfId="1228" xr:uid="{0D1FF45F-CE92-4001-B625-9515C4C54382}"/>
    <cellStyle name="Normal 2 4 5 5" xfId="800" xr:uid="{00000000-0005-0000-0000-000021020000}"/>
    <cellStyle name="Normal 2 4 5 5 2" xfId="3866" xr:uid="{4B66BE51-DA2D-4595-9922-04FEACDD7455}"/>
    <cellStyle name="Normal 2 4 5 5 2 2" xfId="8084" xr:uid="{22E93B10-822B-496C-906C-69BD9E72A9BD}"/>
    <cellStyle name="Normal 2 4 5 5 3" xfId="5939" xr:uid="{2B1D7AA8-A121-4606-8A40-05210C4D918F}"/>
    <cellStyle name="Normal 2 4 5 5 4" xfId="1637" xr:uid="{0B6AAFA9-D9D0-442F-8E40-FB18865CF365}"/>
    <cellStyle name="Normal 2 4 5 6" xfId="2050" xr:uid="{366033E8-57D2-4DCA-BF11-71B7787942E6}"/>
    <cellStyle name="Normal 2 4 5 6 2" xfId="4279" xr:uid="{7220BB6E-EEDC-45C6-A19E-9DCA9F4B9F82}"/>
    <cellStyle name="Normal 2 4 5 6 2 2" xfId="8497" xr:uid="{D4FB8CD5-B974-44F4-8C03-418B9B5EC7C1}"/>
    <cellStyle name="Normal 2 4 5 6 3" xfId="6352" xr:uid="{E6CC5CC3-D037-4260-A1CB-A2F84B787172}"/>
    <cellStyle name="Normal 2 4 5 7" xfId="2463" xr:uid="{46AA04E5-820B-4CDE-9118-5433FE9C6C86}"/>
    <cellStyle name="Normal 2 4 5 7 2" xfId="4692" xr:uid="{442D168D-E956-4EB4-8CB6-380A0E71EF71}"/>
    <cellStyle name="Normal 2 4 5 7 2 2" xfId="8910" xr:uid="{0EB4246A-AEFB-4919-B23D-4DDBED8BDF16}"/>
    <cellStyle name="Normal 2 4 5 7 3" xfId="6765" xr:uid="{7592E70A-125C-405A-A51D-AD4C656E332F}"/>
    <cellStyle name="Normal 2 4 5 8" xfId="2876" xr:uid="{FD82F535-A554-4C75-B432-A946BDD33601}"/>
    <cellStyle name="Normal 2 4 5 8 2" xfId="5105" xr:uid="{111DADB0-8A16-497B-841C-751A88729FD1}"/>
    <cellStyle name="Normal 2 4 5 8 2 2" xfId="9323" xr:uid="{8C946040-8939-4FFB-BA46-320D64987F98}"/>
    <cellStyle name="Normal 2 4 5 8 3" xfId="7178" xr:uid="{0AB2A56E-ADDF-4208-BF86-E5D705E8B037}"/>
    <cellStyle name="Normal 2 4 5 9" xfId="3312" xr:uid="{7366BE1B-9501-4CCD-9635-970A246A7D01}"/>
    <cellStyle name="Normal 2 4 5 9 2" xfId="7591" xr:uid="{06348D56-CC16-46DB-B373-F059F2D2B8F7}"/>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3875" xr:uid="{922254F1-3713-424B-828E-50803826BC50}"/>
    <cellStyle name="Normal 2 4 7 2 2 2 2" xfId="8093" xr:uid="{0DA3C479-6EDB-43BC-9682-D7203819B12A}"/>
    <cellStyle name="Normal 2 4 7 2 2 3" xfId="5948" xr:uid="{D8524C44-0D59-447E-8165-C73AC43CEB2B}"/>
    <cellStyle name="Normal 2 4 7 2 2 4" xfId="1646" xr:uid="{7361D780-03E6-45DE-9E43-898072AB93C0}"/>
    <cellStyle name="Normal 2 4 7 2 3" xfId="2059" xr:uid="{4129785B-1B63-4F34-AEBE-61F4847D2515}"/>
    <cellStyle name="Normal 2 4 7 2 3 2" xfId="4288" xr:uid="{2F29A484-C57C-447E-97E8-295FFA03B64F}"/>
    <cellStyle name="Normal 2 4 7 2 3 2 2" xfId="8506" xr:uid="{8DC4CF00-5C0E-4A89-ADF9-602E6CC40822}"/>
    <cellStyle name="Normal 2 4 7 2 3 3" xfId="6361" xr:uid="{9FD67194-AC27-4B1D-ADCB-0D96F8F701A1}"/>
    <cellStyle name="Normal 2 4 7 2 4" xfId="2472" xr:uid="{08E92AF8-2F01-4DFD-A6CA-1E73B00D2F58}"/>
    <cellStyle name="Normal 2 4 7 2 4 2" xfId="4701" xr:uid="{04EDE39B-98C7-4CD2-8EBD-5C12C0C3D909}"/>
    <cellStyle name="Normal 2 4 7 2 4 2 2" xfId="8919" xr:uid="{2CBD3B0C-42BD-40D1-9BA6-85EA90DCB5E1}"/>
    <cellStyle name="Normal 2 4 7 2 4 3" xfId="6774" xr:uid="{A253CD96-F29F-43A8-8D4E-138234C96F03}"/>
    <cellStyle name="Normal 2 4 7 2 5" xfId="2885" xr:uid="{5D1C0086-CC5A-4159-B7BF-30BF82AEF183}"/>
    <cellStyle name="Normal 2 4 7 2 5 2" xfId="5114" xr:uid="{ACD9E2AF-B6F2-46A2-911B-1FC464818C82}"/>
    <cellStyle name="Normal 2 4 7 2 5 2 2" xfId="9332" xr:uid="{804A20AA-6F5D-404A-990E-BA070A339ABD}"/>
    <cellStyle name="Normal 2 4 7 2 5 3" xfId="7187" xr:uid="{7F1FD442-7FCC-4626-B065-BE9F8A7FB104}"/>
    <cellStyle name="Normal 2 4 7 2 6" xfId="3321" xr:uid="{473CD15F-DFED-4916-B316-E620CB731E59}"/>
    <cellStyle name="Normal 2 4 7 2 6 2" xfId="7600" xr:uid="{66E9C222-662B-4A9E-91E8-DDADF016EDDF}"/>
    <cellStyle name="Normal 2 4 7 2 7" xfId="5534" xr:uid="{05FA1883-6AB5-4342-B05D-3E1B3EA66D86}"/>
    <cellStyle name="Normal 2 4 7 2 8" xfId="1230" xr:uid="{59419790-289C-49F5-9B55-87D08FF0807A}"/>
    <cellStyle name="Normal 2 4 7 3" xfId="808" xr:uid="{00000000-0005-0000-0000-000026020000}"/>
    <cellStyle name="Normal 2 4 7 3 2" xfId="3874" xr:uid="{4B04386C-527D-47AD-A010-40C078821CC7}"/>
    <cellStyle name="Normal 2 4 7 3 2 2" xfId="8092" xr:uid="{FD353961-3EDC-41A6-A2C8-D68165B03211}"/>
    <cellStyle name="Normal 2 4 7 3 3" xfId="5947" xr:uid="{56DD4C93-104B-489D-B88A-C99DF7D8558A}"/>
    <cellStyle name="Normal 2 4 7 3 4" xfId="1645" xr:uid="{00B6218D-1BB5-457C-A216-697D41F0BBE9}"/>
    <cellStyle name="Normal 2 4 7 4" xfId="2058" xr:uid="{0AEEFC1A-21B3-42E3-8CC8-7CD14F504266}"/>
    <cellStyle name="Normal 2 4 7 4 2" xfId="4287" xr:uid="{FB128DF4-6F66-4108-8B6E-4C5B82CB8CC4}"/>
    <cellStyle name="Normal 2 4 7 4 2 2" xfId="8505" xr:uid="{5369347B-F8ED-4B07-AFA0-33A1A4C8D670}"/>
    <cellStyle name="Normal 2 4 7 4 3" xfId="6360" xr:uid="{28C4BAB4-AA8F-409A-8351-4B98FA3FD581}"/>
    <cellStyle name="Normal 2 4 7 5" xfId="2471" xr:uid="{A2CE76F2-5E19-40F5-BFAF-40C6E70A2688}"/>
    <cellStyle name="Normal 2 4 7 5 2" xfId="4700" xr:uid="{56C15180-D6DD-4D0C-9A4C-BF16D414C854}"/>
    <cellStyle name="Normal 2 4 7 5 2 2" xfId="8918" xr:uid="{99501FBF-2850-46C3-BE07-EF2AD9B4C9DF}"/>
    <cellStyle name="Normal 2 4 7 5 3" xfId="6773" xr:uid="{C2226F05-8C59-4FCC-838F-B706B0621CC0}"/>
    <cellStyle name="Normal 2 4 7 6" xfId="2884" xr:uid="{C692787B-6B46-4544-8A5A-B2A031E34579}"/>
    <cellStyle name="Normal 2 4 7 6 2" xfId="5113" xr:uid="{EF81E8FE-191F-4155-8649-D87C9F36E1F7}"/>
    <cellStyle name="Normal 2 4 7 6 2 2" xfId="9331" xr:uid="{6F2B1766-2233-4231-A235-BA80ED2412ED}"/>
    <cellStyle name="Normal 2 4 7 6 3" xfId="7186" xr:uid="{42C3DF9A-C656-4113-A284-43808B7E5ECC}"/>
    <cellStyle name="Normal 2 4 7 7" xfId="3320" xr:uid="{EDEEE328-316F-4264-B823-D13F731F8998}"/>
    <cellStyle name="Normal 2 4 7 7 2" xfId="7599" xr:uid="{E5097DF7-3B3A-4FE1-9E3F-F2C20356F927}"/>
    <cellStyle name="Normal 2 4 7 8" xfId="5533" xr:uid="{E50FA16C-13FF-4C5F-ABA2-B91BF3767736}"/>
    <cellStyle name="Normal 2 4 7 9" xfId="1229" xr:uid="{CAABD9FB-0F4A-4625-85FA-E996562FC0FA}"/>
    <cellStyle name="Normal 2 4 8" xfId="317" xr:uid="{00000000-0005-0000-0000-000027020000}"/>
    <cellStyle name="Normal 2 4 8 2" xfId="810" xr:uid="{00000000-0005-0000-0000-000028020000}"/>
    <cellStyle name="Normal 2 4 8 2 2" xfId="3876" xr:uid="{83C65FAF-5249-4352-95C2-EAAB55237A77}"/>
    <cellStyle name="Normal 2 4 8 2 2 2" xfId="8094" xr:uid="{E8AA2507-5CB1-4FDF-8122-A7ED24A06016}"/>
    <cellStyle name="Normal 2 4 8 2 3" xfId="5949" xr:uid="{B3939F4C-78C3-40AF-A23A-00C6A6BE7154}"/>
    <cellStyle name="Normal 2 4 8 2 4" xfId="1647" xr:uid="{D3C20847-5E29-4E91-AF0D-AD6CF0388BE9}"/>
    <cellStyle name="Normal 2 4 8 3" xfId="2060" xr:uid="{136FB741-3B71-4112-A978-1A204AD9F2F4}"/>
    <cellStyle name="Normal 2 4 8 3 2" xfId="4289" xr:uid="{B92BD36D-13C4-4B1D-B382-45D5F01D7DCF}"/>
    <cellStyle name="Normal 2 4 8 3 2 2" xfId="8507" xr:uid="{0CF816DB-FAEF-492B-AE90-2D95F06949A4}"/>
    <cellStyle name="Normal 2 4 8 3 3" xfId="6362" xr:uid="{0111256A-965D-4303-B5FB-0AE2A4EFFC92}"/>
    <cellStyle name="Normal 2 4 8 4" xfId="2473" xr:uid="{D67B6EF4-8A04-47C1-90FB-771CF05C76F0}"/>
    <cellStyle name="Normal 2 4 8 4 2" xfId="4702" xr:uid="{8FA8D699-B4F5-48AA-89AC-1AEEDBC1383F}"/>
    <cellStyle name="Normal 2 4 8 4 2 2" xfId="8920" xr:uid="{C2D87FB3-004F-4E88-BD89-2F593C84E69C}"/>
    <cellStyle name="Normal 2 4 8 4 3" xfId="6775" xr:uid="{8CD28947-8D13-4499-81DF-495058D5BD83}"/>
    <cellStyle name="Normal 2 4 8 5" xfId="2886" xr:uid="{E68C0FB9-717B-41F9-945D-9BB1D9742C4C}"/>
    <cellStyle name="Normal 2 4 8 5 2" xfId="5115" xr:uid="{23FF4DB3-7560-4C50-9F29-19358C742224}"/>
    <cellStyle name="Normal 2 4 8 5 2 2" xfId="9333" xr:uid="{ACD90210-C42F-4240-B60A-CD9561B5A5DA}"/>
    <cellStyle name="Normal 2 4 8 5 3" xfId="7188" xr:uid="{4B31F48E-5495-4AE3-854D-A16AFE12BD5F}"/>
    <cellStyle name="Normal 2 4 8 6" xfId="3322" xr:uid="{CC357C7C-BB25-4A27-A550-78494890EB60}"/>
    <cellStyle name="Normal 2 4 8 6 2" xfId="7601" xr:uid="{1442C0A7-A5FB-4F69-AA10-0BDEF5227CA2}"/>
    <cellStyle name="Normal 2 4 8 7" xfId="5535" xr:uid="{D2820DEE-74F7-4DED-8B30-A41627F58B7E}"/>
    <cellStyle name="Normal 2 4 8 8" xfId="1231" xr:uid="{2BB3F07F-72EC-4ECF-B61F-076E2DFCB8BB}"/>
    <cellStyle name="Normal 2 5" xfId="318" xr:uid="{00000000-0005-0000-0000-000029020000}"/>
    <cellStyle name="Normal 2 5 10" xfId="5536" xr:uid="{AF2A4B88-AB55-43A0-A139-B6134256CA6B}"/>
    <cellStyle name="Normal 2 5 11" xfId="1232" xr:uid="{4E2EF51E-1F73-4E7E-AFC8-F5BF6B2BCC79}"/>
    <cellStyle name="Normal 2 5 2" xfId="319" xr:uid="{00000000-0005-0000-0000-00002A020000}"/>
    <cellStyle name="Normal 2 5 3" xfId="320" xr:uid="{00000000-0005-0000-0000-00002B020000}"/>
    <cellStyle name="Normal 2 5 4" xfId="321" xr:uid="{00000000-0005-0000-0000-00002C020000}"/>
    <cellStyle name="Normal 2 5 4 10" xfId="1233" xr:uid="{2E0093CA-3F79-4B25-B4B9-58B68F2C09A7}"/>
    <cellStyle name="Normal 2 5 4 2" xfId="322" xr:uid="{00000000-0005-0000-0000-00002D020000}"/>
    <cellStyle name="Normal 2 5 4 2 2" xfId="323" xr:uid="{00000000-0005-0000-0000-00002E020000}"/>
    <cellStyle name="Normal 2 5 4 2 2 2" xfId="814" xr:uid="{00000000-0005-0000-0000-00002F020000}"/>
    <cellStyle name="Normal 2 5 4 2 2 2 2" xfId="3880" xr:uid="{4507488C-664F-47CE-9DCF-51243726ECD4}"/>
    <cellStyle name="Normal 2 5 4 2 2 2 2 2" xfId="8098" xr:uid="{8CB69BB0-6589-4231-A74F-008AB5546E9C}"/>
    <cellStyle name="Normal 2 5 4 2 2 2 3" xfId="5953" xr:uid="{EFFF2D53-BDE8-46EF-B2AB-7806C6A56F43}"/>
    <cellStyle name="Normal 2 5 4 2 2 2 4" xfId="1651" xr:uid="{0C609044-90EA-4D63-B997-B33C5D196CE0}"/>
    <cellStyle name="Normal 2 5 4 2 2 3" xfId="2064" xr:uid="{E5335814-481B-4FA9-AFF1-CD8E43F6E2FD}"/>
    <cellStyle name="Normal 2 5 4 2 2 3 2" xfId="4293" xr:uid="{601F4C70-5FE8-4B3B-9EF3-50E62A68E27A}"/>
    <cellStyle name="Normal 2 5 4 2 2 3 2 2" xfId="8511" xr:uid="{59ED9A30-1A14-4A7C-952B-C2D725B596A4}"/>
    <cellStyle name="Normal 2 5 4 2 2 3 3" xfId="6366" xr:uid="{2413EA4C-944D-465A-A772-77D2AD356AB5}"/>
    <cellStyle name="Normal 2 5 4 2 2 4" xfId="2477" xr:uid="{640B0B1D-6286-4C21-BFD5-CD30874D04F0}"/>
    <cellStyle name="Normal 2 5 4 2 2 4 2" xfId="4706" xr:uid="{C0C709F8-E58C-43DE-826F-007B01CF8083}"/>
    <cellStyle name="Normal 2 5 4 2 2 4 2 2" xfId="8924" xr:uid="{2695F012-3FEF-4413-8269-8601A9522AAF}"/>
    <cellStyle name="Normal 2 5 4 2 2 4 3" xfId="6779" xr:uid="{43C8AA5F-11AC-435B-9BD3-5B1F9B4135D9}"/>
    <cellStyle name="Normal 2 5 4 2 2 5" xfId="2890" xr:uid="{CE244D52-63BA-42CC-B220-01CD3F08A9D2}"/>
    <cellStyle name="Normal 2 5 4 2 2 5 2" xfId="5119" xr:uid="{C7BA5095-F909-40AB-8241-660B13B022B0}"/>
    <cellStyle name="Normal 2 5 4 2 2 5 2 2" xfId="9337" xr:uid="{77160254-1328-4E88-8289-ACE55E8BF7F9}"/>
    <cellStyle name="Normal 2 5 4 2 2 5 3" xfId="7192" xr:uid="{5604A26F-0CC2-4DD3-823B-CBC563AE5E39}"/>
    <cellStyle name="Normal 2 5 4 2 2 6" xfId="3326" xr:uid="{5F93A159-003D-40CB-B854-EA10418E1077}"/>
    <cellStyle name="Normal 2 5 4 2 2 6 2" xfId="7605" xr:uid="{E756662F-127D-422D-B353-78AE9C863CBF}"/>
    <cellStyle name="Normal 2 5 4 2 2 7" xfId="5539" xr:uid="{94D975DE-2C08-4573-B717-C9BCC0E30ADF}"/>
    <cellStyle name="Normal 2 5 4 2 2 8" xfId="1235" xr:uid="{45487B80-B756-470A-B329-6801EC56A91C}"/>
    <cellStyle name="Normal 2 5 4 2 3" xfId="813" xr:uid="{00000000-0005-0000-0000-000030020000}"/>
    <cellStyle name="Normal 2 5 4 2 3 2" xfId="3879" xr:uid="{A818E302-0DC5-4250-B6A7-C109D1AC3BBB}"/>
    <cellStyle name="Normal 2 5 4 2 3 2 2" xfId="8097" xr:uid="{418646A1-E8BC-4C09-9A21-700315224758}"/>
    <cellStyle name="Normal 2 5 4 2 3 3" xfId="5952" xr:uid="{3CA400B3-1F0B-4126-BD37-E00DF66BE2BC}"/>
    <cellStyle name="Normal 2 5 4 2 3 4" xfId="1650" xr:uid="{FF136D70-363C-4D9F-BCF3-280A00DFCDB0}"/>
    <cellStyle name="Normal 2 5 4 2 4" xfId="2063" xr:uid="{2A78AED5-4CAB-4B34-87FA-C4EFC3CD98B8}"/>
    <cellStyle name="Normal 2 5 4 2 4 2" xfId="4292" xr:uid="{430ADDE2-B3CD-4674-8630-8E7CCB8A2284}"/>
    <cellStyle name="Normal 2 5 4 2 4 2 2" xfId="8510" xr:uid="{C5A78719-FD14-4AC9-8C7E-7A4B2AA94AC4}"/>
    <cellStyle name="Normal 2 5 4 2 4 3" xfId="6365" xr:uid="{E21F6ED7-D951-47BF-BE9F-8C22D23150D8}"/>
    <cellStyle name="Normal 2 5 4 2 5" xfId="2476" xr:uid="{701441EC-5064-4D61-B386-61C4436D0244}"/>
    <cellStyle name="Normal 2 5 4 2 5 2" xfId="4705" xr:uid="{095CF707-6087-4925-9046-88A03F80F504}"/>
    <cellStyle name="Normal 2 5 4 2 5 2 2" xfId="8923" xr:uid="{FFEB362A-1468-4914-8C98-A285F50A1B55}"/>
    <cellStyle name="Normal 2 5 4 2 5 3" xfId="6778" xr:uid="{571E6365-69D7-437E-808F-3C7F193D7364}"/>
    <cellStyle name="Normal 2 5 4 2 6" xfId="2889" xr:uid="{2E59014A-3975-43E4-B0A2-52CF07E04491}"/>
    <cellStyle name="Normal 2 5 4 2 6 2" xfId="5118" xr:uid="{468729AD-16A3-4A76-9C54-64955004B37A}"/>
    <cellStyle name="Normal 2 5 4 2 6 2 2" xfId="9336" xr:uid="{E5B0F8A3-1787-4B4D-AEE3-38E8CF428D27}"/>
    <cellStyle name="Normal 2 5 4 2 6 3" xfId="7191" xr:uid="{F1C183DD-F9F6-459C-9346-C0C137312F64}"/>
    <cellStyle name="Normal 2 5 4 2 7" xfId="3325" xr:uid="{47001625-5169-47DF-B11B-4D9D5E5AFE62}"/>
    <cellStyle name="Normal 2 5 4 2 7 2" xfId="7604" xr:uid="{DC858885-3C2B-4236-B9F3-88C88E963837}"/>
    <cellStyle name="Normal 2 5 4 2 8" xfId="5538" xr:uid="{BFF7F1CE-F84E-4DF6-A63D-480220852651}"/>
    <cellStyle name="Normal 2 5 4 2 9" xfId="1234" xr:uid="{98FC4267-8527-4BCE-9788-E79B49829D1E}"/>
    <cellStyle name="Normal 2 5 4 3" xfId="324" xr:uid="{00000000-0005-0000-0000-000031020000}"/>
    <cellStyle name="Normal 2 5 4 3 2" xfId="815" xr:uid="{00000000-0005-0000-0000-000032020000}"/>
    <cellStyle name="Normal 2 5 4 3 2 2" xfId="3881" xr:uid="{79D39B5F-7A4D-42E7-B45A-92C4A1A30502}"/>
    <cellStyle name="Normal 2 5 4 3 2 2 2" xfId="8099" xr:uid="{95D18E6D-989E-42B8-8596-EDF3D0274289}"/>
    <cellStyle name="Normal 2 5 4 3 2 3" xfId="5954" xr:uid="{84D191EF-D7E8-402D-A488-3211ED7CB019}"/>
    <cellStyle name="Normal 2 5 4 3 2 4" xfId="1652" xr:uid="{CEC2C048-DDFE-451C-94F3-7B6A53641C9F}"/>
    <cellStyle name="Normal 2 5 4 3 3" xfId="2065" xr:uid="{D213F376-0353-4576-B385-4895A957C6D8}"/>
    <cellStyle name="Normal 2 5 4 3 3 2" xfId="4294" xr:uid="{E97308EA-1813-4DCE-8081-D01C80AC7742}"/>
    <cellStyle name="Normal 2 5 4 3 3 2 2" xfId="8512" xr:uid="{A0A7BC29-8A20-49F3-8B97-A15E0D9939E5}"/>
    <cellStyle name="Normal 2 5 4 3 3 3" xfId="6367" xr:uid="{94B0E255-7BD5-4BF5-A695-B647194A7E88}"/>
    <cellStyle name="Normal 2 5 4 3 4" xfId="2478" xr:uid="{EB64F92B-AC23-46AF-9ED2-73F3605E7202}"/>
    <cellStyle name="Normal 2 5 4 3 4 2" xfId="4707" xr:uid="{C4C88A37-A924-4B98-9961-26116DAF342B}"/>
    <cellStyle name="Normal 2 5 4 3 4 2 2" xfId="8925" xr:uid="{F6B7549A-47F2-4AF4-A50A-1EB8BE9F7780}"/>
    <cellStyle name="Normal 2 5 4 3 4 3" xfId="6780" xr:uid="{580A7253-211C-48CB-93E2-67401403CE35}"/>
    <cellStyle name="Normal 2 5 4 3 5" xfId="2891" xr:uid="{5AC1FC07-F6C5-4835-95EE-C4147E1FCD74}"/>
    <cellStyle name="Normal 2 5 4 3 5 2" xfId="5120" xr:uid="{79C5ADEB-D995-43E2-B998-B4A3EBA645FB}"/>
    <cellStyle name="Normal 2 5 4 3 5 2 2" xfId="9338" xr:uid="{F7A4C6B3-9470-4235-9040-7895D99302EE}"/>
    <cellStyle name="Normal 2 5 4 3 5 3" xfId="7193" xr:uid="{447070BF-35F0-4D88-A2E2-A59B41A14D03}"/>
    <cellStyle name="Normal 2 5 4 3 6" xfId="3327" xr:uid="{9313F288-0514-43CD-88E3-20F08408280F}"/>
    <cellStyle name="Normal 2 5 4 3 6 2" xfId="7606" xr:uid="{19D1C8E9-462A-4585-898E-BC28EA17771D}"/>
    <cellStyle name="Normal 2 5 4 3 7" xfId="5540" xr:uid="{E8BF3DD4-196B-4A50-84D3-DF7D709F9149}"/>
    <cellStyle name="Normal 2 5 4 3 8" xfId="1236" xr:uid="{11F11FC5-84A7-4543-8128-05611D6C69B4}"/>
    <cellStyle name="Normal 2 5 4 4" xfId="812" xr:uid="{00000000-0005-0000-0000-000033020000}"/>
    <cellStyle name="Normal 2 5 4 4 2" xfId="3878" xr:uid="{E2474E2E-BB8A-4000-B1A2-2A2361280ADD}"/>
    <cellStyle name="Normal 2 5 4 4 2 2" xfId="8096" xr:uid="{8719596E-38FA-4109-A1DC-892AFAE51722}"/>
    <cellStyle name="Normal 2 5 4 4 3" xfId="5951" xr:uid="{D6B2822D-6282-463F-B743-EF24EA730D0C}"/>
    <cellStyle name="Normal 2 5 4 4 4" xfId="1649" xr:uid="{3E1BE241-ACBD-4BF1-BBF3-E5653CBC97D3}"/>
    <cellStyle name="Normal 2 5 4 5" xfId="2062" xr:uid="{E6BF8A3E-20AE-4484-AB4F-7F3E176D537E}"/>
    <cellStyle name="Normal 2 5 4 5 2" xfId="4291" xr:uid="{5E486BC1-ED24-4C7F-AFDD-DEE08DCA49E9}"/>
    <cellStyle name="Normal 2 5 4 5 2 2" xfId="8509" xr:uid="{E3BC3CD3-537A-4E20-9334-EE5378DD2455}"/>
    <cellStyle name="Normal 2 5 4 5 3" xfId="6364" xr:uid="{F75289F0-CC9F-407F-B3E6-7E0335C708D9}"/>
    <cellStyle name="Normal 2 5 4 6" xfId="2475" xr:uid="{AC6075CC-D6FD-4FD8-9069-C2DE8DDDE939}"/>
    <cellStyle name="Normal 2 5 4 6 2" xfId="4704" xr:uid="{43C21FA0-B22C-4EF5-A69B-1307D5BB5EEC}"/>
    <cellStyle name="Normal 2 5 4 6 2 2" xfId="8922" xr:uid="{2CE05613-E7EF-45C1-9990-E510ADB0F532}"/>
    <cellStyle name="Normal 2 5 4 6 3" xfId="6777" xr:uid="{931743FD-DC0F-4C2D-98E8-D06B7C0AD647}"/>
    <cellStyle name="Normal 2 5 4 7" xfId="2888" xr:uid="{9009CEDD-4098-460F-AABF-66DE6613F6DD}"/>
    <cellStyle name="Normal 2 5 4 7 2" xfId="5117" xr:uid="{FEE94F98-08F3-4F65-B823-C1ACBBD803A5}"/>
    <cellStyle name="Normal 2 5 4 7 2 2" xfId="9335" xr:uid="{435A0418-8441-48EB-8E1F-EB813E892575}"/>
    <cellStyle name="Normal 2 5 4 7 3" xfId="7190" xr:uid="{BFAD5220-336C-4FFB-AF03-8981AF994220}"/>
    <cellStyle name="Normal 2 5 4 8" xfId="3324" xr:uid="{2DB58454-3373-4576-8A41-860440D06CC5}"/>
    <cellStyle name="Normal 2 5 4 8 2" xfId="7603" xr:uid="{A8FD39B5-30FE-4A65-9FBA-9D68B8A21973}"/>
    <cellStyle name="Normal 2 5 4 9" xfId="5537" xr:uid="{F9B5FEA2-5218-40BA-B2B7-D2D5CA9C5D76}"/>
    <cellStyle name="Normal 2 5 5" xfId="811" xr:uid="{00000000-0005-0000-0000-000034020000}"/>
    <cellStyle name="Normal 2 5 5 2" xfId="3877" xr:uid="{A4FE1776-F2DC-450D-BD1B-C1D1EA287D72}"/>
    <cellStyle name="Normal 2 5 5 2 2" xfId="8095" xr:uid="{FA785B54-9E2A-4B8A-B06C-3D7BC958C79C}"/>
    <cellStyle name="Normal 2 5 5 3" xfId="5950" xr:uid="{1009DB00-383D-46EC-820B-9362261DAE0A}"/>
    <cellStyle name="Normal 2 5 5 4" xfId="1648" xr:uid="{246A2A8F-A872-4727-95D2-A2AFF7F155C3}"/>
    <cellStyle name="Normal 2 5 6" xfId="2061" xr:uid="{BD58DB0C-F293-487E-BA49-17E289CF9709}"/>
    <cellStyle name="Normal 2 5 6 2" xfId="4290" xr:uid="{B5F02EDC-CFF0-4D6F-9FBB-A3D4AD678553}"/>
    <cellStyle name="Normal 2 5 6 2 2" xfId="8508" xr:uid="{D0AA66A1-A941-4954-B44D-93C796D0FF0C}"/>
    <cellStyle name="Normal 2 5 6 3" xfId="6363" xr:uid="{995256E9-B7B8-4FB0-8680-03094B208F33}"/>
    <cellStyle name="Normal 2 5 7" xfId="2474" xr:uid="{43F6045D-347A-4D98-9016-5D84323C58D6}"/>
    <cellStyle name="Normal 2 5 7 2" xfId="4703" xr:uid="{E93E2CD7-B7B7-437D-9010-6231DB1C7F84}"/>
    <cellStyle name="Normal 2 5 7 2 2" xfId="8921" xr:uid="{A89E7C5F-063E-4972-BEDC-89139301C9A3}"/>
    <cellStyle name="Normal 2 5 7 3" xfId="6776" xr:uid="{356D1DA8-53F9-4624-B79E-44D89B3F45C1}"/>
    <cellStyle name="Normal 2 5 8" xfId="2887" xr:uid="{EB42381B-7641-4818-B32D-93BE7B396751}"/>
    <cellStyle name="Normal 2 5 8 2" xfId="5116" xr:uid="{D3BDF7EE-CE84-443C-9B25-869EBFB74465}"/>
    <cellStyle name="Normal 2 5 8 2 2" xfId="9334" xr:uid="{9A986953-7E17-4E4E-B7E4-C578F7BF5DD0}"/>
    <cellStyle name="Normal 2 5 8 3" xfId="7189" xr:uid="{C2C7E7EB-B7E8-483F-92D7-B394538C4CEA}"/>
    <cellStyle name="Normal 2 5 9" xfId="3323" xr:uid="{8E106A55-C171-4179-9162-9FE644BBD859}"/>
    <cellStyle name="Normal 2 5 9 2" xfId="7602" xr:uid="{C7C0C588-A3AD-407D-90E5-E6F75629AC14}"/>
    <cellStyle name="Normal 2 6" xfId="325" xr:uid="{00000000-0005-0000-0000-000035020000}"/>
    <cellStyle name="Normal 2 7" xfId="1615" xr:uid="{4937F9AD-FAFE-4104-9937-5AF822A24968}"/>
    <cellStyle name="Normal 2 8" xfId="574" xr:uid="{00000000-0005-0000-0000-000036020000}"/>
    <cellStyle name="Normal 3" xfId="326" xr:uid="{00000000-0005-0000-0000-000037020000}"/>
    <cellStyle name="Normal 3 2" xfId="327" xr:uid="{00000000-0005-0000-0000-000038020000}"/>
    <cellStyle name="Normal 3 2 10" xfId="1237" xr:uid="{5A4E12C4-8A0E-4D3D-BB51-AA59A89C4518}"/>
    <cellStyle name="Normal 3 2 2" xfId="328" xr:uid="{00000000-0005-0000-0000-000039020000}"/>
    <cellStyle name="Normal 3 2 2 2" xfId="818" xr:uid="{00000000-0005-0000-0000-00003A020000}"/>
    <cellStyle name="Normal 3 2 3" xfId="329" xr:uid="{00000000-0005-0000-0000-00003B020000}"/>
    <cellStyle name="Normal 3 2 3 10" xfId="1238" xr:uid="{0EC40FAB-E1B0-42D4-9DAB-DEF3080CF737}"/>
    <cellStyle name="Normal 3 2 3 2" xfId="330" xr:uid="{00000000-0005-0000-0000-00003C020000}"/>
    <cellStyle name="Normal 3 2 3 2 2" xfId="331" xr:uid="{00000000-0005-0000-0000-00003D020000}"/>
    <cellStyle name="Normal 3 2 3 2 2 2" xfId="821" xr:uid="{00000000-0005-0000-0000-00003E020000}"/>
    <cellStyle name="Normal 3 2 3 2 2 2 2" xfId="3885" xr:uid="{E449C880-6209-4CD1-99B4-04A351D47414}"/>
    <cellStyle name="Normal 3 2 3 2 2 2 2 2" xfId="8103" xr:uid="{392ADFDB-9E45-45D9-A526-50C8E668D651}"/>
    <cellStyle name="Normal 3 2 3 2 2 2 3" xfId="5958" xr:uid="{740D721F-8100-4DD0-87ED-053E2C308D79}"/>
    <cellStyle name="Normal 3 2 3 2 2 2 4" xfId="1656" xr:uid="{F46BE4BB-1C7D-456F-B9EB-84634AD40AC5}"/>
    <cellStyle name="Normal 3 2 3 2 2 3" xfId="2069" xr:uid="{155F5416-1ED8-4762-86D1-2B6EB138D0F5}"/>
    <cellStyle name="Normal 3 2 3 2 2 3 2" xfId="4298" xr:uid="{EC98B6C9-A6E3-4853-9110-F8864E944AFC}"/>
    <cellStyle name="Normal 3 2 3 2 2 3 2 2" xfId="8516" xr:uid="{94EA7A8D-C597-4CD6-B5C3-B134C660A486}"/>
    <cellStyle name="Normal 3 2 3 2 2 3 3" xfId="6371" xr:uid="{45C66FBA-6909-423F-817E-A4A1555D12C0}"/>
    <cellStyle name="Normal 3 2 3 2 2 4" xfId="2482" xr:uid="{1AAA59CA-D56A-4807-AD86-003CFFA3D58E}"/>
    <cellStyle name="Normal 3 2 3 2 2 4 2" xfId="4711" xr:uid="{6DF0294E-F7E4-4F78-BF36-0A82CEEA1B27}"/>
    <cellStyle name="Normal 3 2 3 2 2 4 2 2" xfId="8929" xr:uid="{90EE47EA-B80B-4F12-9539-BB52F6F0B8E9}"/>
    <cellStyle name="Normal 3 2 3 2 2 4 3" xfId="6784" xr:uid="{2EF1FCC0-1AF3-4CAD-8FDB-585FE53AAE8B}"/>
    <cellStyle name="Normal 3 2 3 2 2 5" xfId="2895" xr:uid="{1B0E38AC-A6FB-416D-A65D-AB77CAF16F6E}"/>
    <cellStyle name="Normal 3 2 3 2 2 5 2" xfId="5124" xr:uid="{418E4AE9-4FDD-4C43-A59B-69A71B4FC900}"/>
    <cellStyle name="Normal 3 2 3 2 2 5 2 2" xfId="9342" xr:uid="{61F983C0-455A-403B-8723-C68D6A380669}"/>
    <cellStyle name="Normal 3 2 3 2 2 5 3" xfId="7197" xr:uid="{E45E118B-9701-433B-8044-D50B9E8FA05D}"/>
    <cellStyle name="Normal 3 2 3 2 2 6" xfId="3331" xr:uid="{010F0241-36B5-4BD9-BD54-BF26CA5C46CC}"/>
    <cellStyle name="Normal 3 2 3 2 2 6 2" xfId="7610" xr:uid="{4EA38C0A-6A03-4FC8-82B5-99AB17A024A6}"/>
    <cellStyle name="Normal 3 2 3 2 2 7" xfId="5544" xr:uid="{04C6CC76-9891-49D4-B885-8688F1346D63}"/>
    <cellStyle name="Normal 3 2 3 2 2 8" xfId="1240" xr:uid="{934B2906-D4C4-44F8-A5DA-91683B60B561}"/>
    <cellStyle name="Normal 3 2 3 2 3" xfId="820" xr:uid="{00000000-0005-0000-0000-00003F020000}"/>
    <cellStyle name="Normal 3 2 3 2 3 2" xfId="3884" xr:uid="{5C110EA6-1F05-4EC2-81FE-96E6A7E67E04}"/>
    <cellStyle name="Normal 3 2 3 2 3 2 2" xfId="8102" xr:uid="{B9538800-6AA2-4FC9-80F8-97B7843E5EE7}"/>
    <cellStyle name="Normal 3 2 3 2 3 3" xfId="5957" xr:uid="{4BC25B27-7AE0-4075-9548-CBFA2990FD28}"/>
    <cellStyle name="Normal 3 2 3 2 3 4" xfId="1655" xr:uid="{FA376185-D4BF-4E3E-BD13-36DC07576D96}"/>
    <cellStyle name="Normal 3 2 3 2 4" xfId="2068" xr:uid="{117BFD3F-E8DE-4241-8B08-D20EE6094170}"/>
    <cellStyle name="Normal 3 2 3 2 4 2" xfId="4297" xr:uid="{D59FE668-7412-4EF7-BC68-1F8C9ECEDD9B}"/>
    <cellStyle name="Normal 3 2 3 2 4 2 2" xfId="8515" xr:uid="{7AF60C83-8E6F-4F06-8A0F-36E6655506E9}"/>
    <cellStyle name="Normal 3 2 3 2 4 3" xfId="6370" xr:uid="{B3CF3997-5F5D-4AFC-B65D-D5C40646ED33}"/>
    <cellStyle name="Normal 3 2 3 2 5" xfId="2481" xr:uid="{DFD8CB28-7733-4D9D-8EFF-408B714B3D07}"/>
    <cellStyle name="Normal 3 2 3 2 5 2" xfId="4710" xr:uid="{41A91B5C-8B56-4D77-AD05-BD334108D55B}"/>
    <cellStyle name="Normal 3 2 3 2 5 2 2" xfId="8928" xr:uid="{DC4C66E3-E97D-4CD1-B5C3-5A43807C4821}"/>
    <cellStyle name="Normal 3 2 3 2 5 3" xfId="6783" xr:uid="{F0206087-AA0D-44CB-809B-F0C2707FDB62}"/>
    <cellStyle name="Normal 3 2 3 2 6" xfId="2894" xr:uid="{19BAD06E-7483-4EFF-BB9C-14EA68476A9D}"/>
    <cellStyle name="Normal 3 2 3 2 6 2" xfId="5123" xr:uid="{9A8F34E2-1AC1-4ABD-96A9-101733BB42C8}"/>
    <cellStyle name="Normal 3 2 3 2 6 2 2" xfId="9341" xr:uid="{4A9FE967-E32E-4B12-9214-039F0A8FD378}"/>
    <cellStyle name="Normal 3 2 3 2 6 3" xfId="7196" xr:uid="{CDC39FCD-EFE5-4BC8-977A-F4A729624A3F}"/>
    <cellStyle name="Normal 3 2 3 2 7" xfId="3330" xr:uid="{9136F019-5464-4A5C-B13A-DC0DED336E6F}"/>
    <cellStyle name="Normal 3 2 3 2 7 2" xfId="7609" xr:uid="{D58AF4F8-5E5B-4756-9945-B4C2348C0131}"/>
    <cellStyle name="Normal 3 2 3 2 8" xfId="5543" xr:uid="{C3C9F84D-AB69-4A24-ACBB-AAA2B62C03BB}"/>
    <cellStyle name="Normal 3 2 3 2 9" xfId="1239" xr:uid="{DE502165-3C83-4E7E-9BDE-710234660A1B}"/>
    <cellStyle name="Normal 3 2 3 3" xfId="332" xr:uid="{00000000-0005-0000-0000-000040020000}"/>
    <cellStyle name="Normal 3 2 3 3 2" xfId="822" xr:uid="{00000000-0005-0000-0000-000041020000}"/>
    <cellStyle name="Normal 3 2 3 3 2 2" xfId="3886" xr:uid="{7B852AEB-9DC0-4460-B589-733A60444AAE}"/>
    <cellStyle name="Normal 3 2 3 3 2 2 2" xfId="8104" xr:uid="{4C650986-6795-4FE1-9ED4-541D42B1CE67}"/>
    <cellStyle name="Normal 3 2 3 3 2 3" xfId="5959" xr:uid="{15F683CF-B017-4176-82EA-6010EF59511C}"/>
    <cellStyle name="Normal 3 2 3 3 2 4" xfId="1657" xr:uid="{A2E643EE-ED47-435D-B91A-54D4B58B6D7E}"/>
    <cellStyle name="Normal 3 2 3 3 3" xfId="2070" xr:uid="{2279740B-3984-40E5-AD9A-179E782908AB}"/>
    <cellStyle name="Normal 3 2 3 3 3 2" xfId="4299" xr:uid="{39A1235A-275E-48BA-9DBA-46D7812803CF}"/>
    <cellStyle name="Normal 3 2 3 3 3 2 2" xfId="8517" xr:uid="{4482C768-7C27-4E87-A592-DE5CE095B292}"/>
    <cellStyle name="Normal 3 2 3 3 3 3" xfId="6372" xr:uid="{EA9D3CF4-1B6B-403A-B61B-1ACA6AB88886}"/>
    <cellStyle name="Normal 3 2 3 3 4" xfId="2483" xr:uid="{18B0BFAD-CAF8-4EB5-B4CC-A3684CB7C680}"/>
    <cellStyle name="Normal 3 2 3 3 4 2" xfId="4712" xr:uid="{3C536929-005A-4AB2-AB7C-806C82F5480D}"/>
    <cellStyle name="Normal 3 2 3 3 4 2 2" xfId="8930" xr:uid="{E2E85024-DA13-4C70-904E-C16BFFD4F3A3}"/>
    <cellStyle name="Normal 3 2 3 3 4 3" xfId="6785" xr:uid="{BC2A1C86-BACE-41A7-83FD-8968274F3E90}"/>
    <cellStyle name="Normal 3 2 3 3 5" xfId="2896" xr:uid="{0B265EAC-5214-41E7-A868-F60B5B7B3AA8}"/>
    <cellStyle name="Normal 3 2 3 3 5 2" xfId="5125" xr:uid="{20E9BC2F-4C90-468B-91F3-893AB9AECB16}"/>
    <cellStyle name="Normal 3 2 3 3 5 2 2" xfId="9343" xr:uid="{CE661F29-F7A8-49C1-B4B2-C5FD86C30D78}"/>
    <cellStyle name="Normal 3 2 3 3 5 3" xfId="7198" xr:uid="{52A795D4-B36A-4A17-9F6F-16156FDE3635}"/>
    <cellStyle name="Normal 3 2 3 3 6" xfId="3332" xr:uid="{81E0487C-5624-464C-875D-D4085BF5F370}"/>
    <cellStyle name="Normal 3 2 3 3 6 2" xfId="7611" xr:uid="{E5E3C298-4E7C-4E5C-8019-48C3BCF730F9}"/>
    <cellStyle name="Normal 3 2 3 3 7" xfId="5545" xr:uid="{623F2B20-3C30-47CD-877E-C2CD8D9156D7}"/>
    <cellStyle name="Normal 3 2 3 3 8" xfId="1241" xr:uid="{1E242E3A-039B-4A34-BA5D-AAF1A5A9A6E4}"/>
    <cellStyle name="Normal 3 2 3 4" xfId="819" xr:uid="{00000000-0005-0000-0000-000042020000}"/>
    <cellStyle name="Normal 3 2 3 4 2" xfId="3883" xr:uid="{55B7838D-9425-42DE-906F-29CCB7FC26F5}"/>
    <cellStyle name="Normal 3 2 3 4 2 2" xfId="8101" xr:uid="{0B47529A-F5B8-454B-87E1-7661A81D95B3}"/>
    <cellStyle name="Normal 3 2 3 4 3" xfId="5956" xr:uid="{2E97711C-FFFC-44D4-8CBD-E8FDB9BA0653}"/>
    <cellStyle name="Normal 3 2 3 4 4" xfId="1654" xr:uid="{D05A8F53-B25B-451D-A1BD-006F214B36D9}"/>
    <cellStyle name="Normal 3 2 3 5" xfId="2067" xr:uid="{BAFC332C-5F33-479C-8B00-23D82ED0D182}"/>
    <cellStyle name="Normal 3 2 3 5 2" xfId="4296" xr:uid="{4A6F3CF9-A54C-4E4A-9E72-4D18FDED8297}"/>
    <cellStyle name="Normal 3 2 3 5 2 2" xfId="8514" xr:uid="{F11F0F60-4149-4295-B7EA-4FCA49E5182A}"/>
    <cellStyle name="Normal 3 2 3 5 3" xfId="6369" xr:uid="{592B6952-9F83-466C-AC94-896B79482579}"/>
    <cellStyle name="Normal 3 2 3 6" xfId="2480" xr:uid="{BC67A410-E02B-41E5-80ED-730E6F7D8DCF}"/>
    <cellStyle name="Normal 3 2 3 6 2" xfId="4709" xr:uid="{26B26448-227D-4D11-91BE-31630C5422DC}"/>
    <cellStyle name="Normal 3 2 3 6 2 2" xfId="8927" xr:uid="{C51E0096-F23D-45F2-BB98-533F4D8C3996}"/>
    <cellStyle name="Normal 3 2 3 6 3" xfId="6782" xr:uid="{1146C982-87D6-411C-9D38-4F7233A27E44}"/>
    <cellStyle name="Normal 3 2 3 7" xfId="2893" xr:uid="{A25F43CA-924B-4693-9D77-EF6FA411BFF5}"/>
    <cellStyle name="Normal 3 2 3 7 2" xfId="5122" xr:uid="{2DB54699-D0B4-4020-B239-607301A3190B}"/>
    <cellStyle name="Normal 3 2 3 7 2 2" xfId="9340" xr:uid="{6B7EF366-FE5D-467F-AC6D-8612F12C1052}"/>
    <cellStyle name="Normal 3 2 3 7 3" xfId="7195" xr:uid="{E35EA92F-D9FC-44F0-AE5C-61A5031C737F}"/>
    <cellStyle name="Normal 3 2 3 8" xfId="3329" xr:uid="{83037766-15EE-4FD0-8532-C7746E943BD9}"/>
    <cellStyle name="Normal 3 2 3 8 2" xfId="7608" xr:uid="{535C639C-BB9D-47DD-A238-2D1417AA4EDA}"/>
    <cellStyle name="Normal 3 2 3 9" xfId="5542" xr:uid="{F0B2D4C4-EC83-41E9-86A3-BBA335D2F19B}"/>
    <cellStyle name="Normal 3 2 4" xfId="817" xr:uid="{00000000-0005-0000-0000-000043020000}"/>
    <cellStyle name="Normal 3 2 4 2" xfId="3882" xr:uid="{76BFC54B-A4E6-4B20-8069-E0E1590EA156}"/>
    <cellStyle name="Normal 3 2 4 2 2" xfId="8100" xr:uid="{5AD392C7-7AFC-42B7-8819-35E4D2EA5BB5}"/>
    <cellStyle name="Normal 3 2 4 3" xfId="5955" xr:uid="{2B32A8EE-A04B-4514-9040-D4D1E4C6F4EC}"/>
    <cellStyle name="Normal 3 2 4 4" xfId="1653" xr:uid="{0B48B090-8EAA-400D-8E51-7B244093442C}"/>
    <cellStyle name="Normal 3 2 5" xfId="2066" xr:uid="{9B2C37C0-607B-4DBC-B34D-64252FD3AF9E}"/>
    <cellStyle name="Normal 3 2 5 2" xfId="4295" xr:uid="{2009B011-2322-4CD9-BE0A-0BFB9571A4B2}"/>
    <cellStyle name="Normal 3 2 5 2 2" xfId="8513" xr:uid="{E7C49D12-E9DB-42B5-9214-5B759ACC8215}"/>
    <cellStyle name="Normal 3 2 5 3" xfId="6368" xr:uid="{6888F5C5-F791-4907-89D7-B9B292A42AFD}"/>
    <cellStyle name="Normal 3 2 6" xfId="2479" xr:uid="{347656E3-DCA0-4012-8F0F-713E3F85DF82}"/>
    <cellStyle name="Normal 3 2 6 2" xfId="4708" xr:uid="{DCDEE52B-CDE6-45CD-8F01-1D8F19951578}"/>
    <cellStyle name="Normal 3 2 6 2 2" xfId="8926" xr:uid="{AAC9FA39-87D3-4ACB-930D-DF2EC99FF702}"/>
    <cellStyle name="Normal 3 2 6 3" xfId="6781" xr:uid="{BB619774-207B-4624-B8EA-12774E76AEBD}"/>
    <cellStyle name="Normal 3 2 7" xfId="2892" xr:uid="{C9AAEC09-C13D-45D6-A400-591B2197D361}"/>
    <cellStyle name="Normal 3 2 7 2" xfId="5121" xr:uid="{6A882CAC-FB19-4E13-A85C-2B601B87F867}"/>
    <cellStyle name="Normal 3 2 7 2 2" xfId="9339" xr:uid="{D03627D6-DF6A-4D10-87E1-E4FF0624DDE1}"/>
    <cellStyle name="Normal 3 2 7 3" xfId="7194" xr:uid="{EE971572-C9A2-4FD0-A2B6-C4F582A25DEC}"/>
    <cellStyle name="Normal 3 2 8" xfId="3328" xr:uid="{E89B6333-7186-4092-9CD3-2924AF9D1B8E}"/>
    <cellStyle name="Normal 3 2 8 2" xfId="7607" xr:uid="{E63A0F13-E01C-46C7-8443-30BF554D75BD}"/>
    <cellStyle name="Normal 3 2 9" xfId="5541" xr:uid="{3FCBAA28-6D09-4F73-A5CF-1D5ECC418C53}"/>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10" xfId="1242" xr:uid="{F7B1A4C1-C6C5-4459-A70B-F0D9D16A7B9B}"/>
    <cellStyle name="Normal 4 2" xfId="339" xr:uid="{00000000-0005-0000-0000-00004B020000}"/>
    <cellStyle name="Normal 4 2 2" xfId="340" xr:uid="{00000000-0005-0000-0000-00004C020000}"/>
    <cellStyle name="Normal 4 2 2 10" xfId="2897" xr:uid="{E541166F-E807-48C8-B953-02E358016A68}"/>
    <cellStyle name="Normal 4 2 2 10 2" xfId="5126" xr:uid="{A1F44688-F792-4191-865F-FF54DEFB2625}"/>
    <cellStyle name="Normal 4 2 2 10 2 2" xfId="9344" xr:uid="{C1E8607F-83F5-4165-A831-AE1B229DE7C6}"/>
    <cellStyle name="Normal 4 2 2 10 3" xfId="7199" xr:uid="{521A81E1-A98B-4467-8C89-E05E39B10968}"/>
    <cellStyle name="Normal 4 2 2 11" xfId="3333" xr:uid="{52121F9F-32E6-4A0E-A2B8-C514B5617D4E}"/>
    <cellStyle name="Normal 4 2 2 11 2" xfId="7612" xr:uid="{CAF6E19D-E5F6-4872-94D9-4140CD562F5C}"/>
    <cellStyle name="Normal 4 2 2 12" xfId="5547" xr:uid="{32E77B20-D438-48C1-B66A-16B28A6FC77E}"/>
    <cellStyle name="Normal 4 2 2 13" xfId="1243" xr:uid="{F46084C6-2262-422A-A03D-ED7CDDC4B686}"/>
    <cellStyle name="Normal 4 2 2 2" xfId="341" xr:uid="{00000000-0005-0000-0000-00004D020000}"/>
    <cellStyle name="Normal 4 2 2 3" xfId="342" xr:uid="{00000000-0005-0000-0000-00004E020000}"/>
    <cellStyle name="Normal 4 2 2 3 10" xfId="5548" xr:uid="{61B92A7E-B7BE-4B8B-AB04-DFBD1D9AEAD0}"/>
    <cellStyle name="Normal 4 2 2 3 11" xfId="1244" xr:uid="{CF90082D-48F0-406C-B0C4-55804ED03AC7}"/>
    <cellStyle name="Normal 4 2 2 3 2" xfId="343" xr:uid="{00000000-0005-0000-0000-00004F020000}"/>
    <cellStyle name="Normal 4 2 2 3 2 10" xfId="1245" xr:uid="{CC70F1E2-6997-424E-B2B8-03FA17AEC43E}"/>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3891" xr:uid="{24FA268D-5CD1-474B-9CA3-E45E28C45481}"/>
    <cellStyle name="Normal 4 2 2 3 2 2 2 2 2 2" xfId="8109" xr:uid="{FD2C89E0-353B-4FCA-AC13-2886C0B5CBC0}"/>
    <cellStyle name="Normal 4 2 2 3 2 2 2 2 3" xfId="5964" xr:uid="{16DBEA41-6A14-4F78-93F9-4C10AE6EFD6D}"/>
    <cellStyle name="Normal 4 2 2 3 2 2 2 2 4" xfId="1662" xr:uid="{BAA51D7D-831F-4A35-96FE-AD0EFE9F57CE}"/>
    <cellStyle name="Normal 4 2 2 3 2 2 2 3" xfId="2075" xr:uid="{CEBC1773-FD39-45A6-B9B1-90D6A9F0CAC9}"/>
    <cellStyle name="Normal 4 2 2 3 2 2 2 3 2" xfId="4304" xr:uid="{CECB2C31-54D8-4BF2-9D04-58FE71BC0321}"/>
    <cellStyle name="Normal 4 2 2 3 2 2 2 3 2 2" xfId="8522" xr:uid="{7A1A1ACC-81CA-4303-9F7B-53A24EAF0374}"/>
    <cellStyle name="Normal 4 2 2 3 2 2 2 3 3" xfId="6377" xr:uid="{D3A599C9-64F7-4150-AFD5-46E73C8DA9C8}"/>
    <cellStyle name="Normal 4 2 2 3 2 2 2 4" xfId="2488" xr:uid="{0E36B554-FB26-486A-A490-76BE9FF93F92}"/>
    <cellStyle name="Normal 4 2 2 3 2 2 2 4 2" xfId="4717" xr:uid="{94FD9E95-15B2-42C6-B1F4-54B1A4876F4D}"/>
    <cellStyle name="Normal 4 2 2 3 2 2 2 4 2 2" xfId="8935" xr:uid="{5579EF6D-CDC8-417B-B316-7241B1BE8173}"/>
    <cellStyle name="Normal 4 2 2 3 2 2 2 4 3" xfId="6790" xr:uid="{C027C90D-35BF-4296-BE75-49DCC63C7F4B}"/>
    <cellStyle name="Normal 4 2 2 3 2 2 2 5" xfId="2901" xr:uid="{B623E525-A3DB-4F46-ADEA-4396E7EF54E8}"/>
    <cellStyle name="Normal 4 2 2 3 2 2 2 5 2" xfId="5130" xr:uid="{3B3622EC-F1E5-4048-A7C5-9BF59DD24CB2}"/>
    <cellStyle name="Normal 4 2 2 3 2 2 2 5 2 2" xfId="9348" xr:uid="{895F66A3-BA74-4D8F-AAD3-24F6C0E851BB}"/>
    <cellStyle name="Normal 4 2 2 3 2 2 2 5 3" xfId="7203" xr:uid="{6D9245E3-DB31-4529-8A76-0CDC2124511A}"/>
    <cellStyle name="Normal 4 2 2 3 2 2 2 6" xfId="3337" xr:uid="{623E34E4-6058-43F5-AB34-D22999081283}"/>
    <cellStyle name="Normal 4 2 2 3 2 2 2 6 2" xfId="7616" xr:uid="{F6CDEC1B-60B3-4310-A173-8A1A20E9153F}"/>
    <cellStyle name="Normal 4 2 2 3 2 2 2 7" xfId="5551" xr:uid="{3BD13A95-C874-4368-A9F2-7244B952EDE0}"/>
    <cellStyle name="Normal 4 2 2 3 2 2 2 8" xfId="1247" xr:uid="{3124F1A8-B72D-46B6-8F7C-5DB8E18ACC90}"/>
    <cellStyle name="Normal 4 2 2 3 2 2 3" xfId="826" xr:uid="{00000000-0005-0000-0000-000053020000}"/>
    <cellStyle name="Normal 4 2 2 3 2 2 3 2" xfId="3890" xr:uid="{BEF063E0-255C-4433-8F8C-73978A351343}"/>
    <cellStyle name="Normal 4 2 2 3 2 2 3 2 2" xfId="8108" xr:uid="{F1DE180C-DF4D-4BD0-8486-882D5D6AE1DF}"/>
    <cellStyle name="Normal 4 2 2 3 2 2 3 3" xfId="5963" xr:uid="{11DCE0B5-BC9C-444D-8029-7A3413A4FAE9}"/>
    <cellStyle name="Normal 4 2 2 3 2 2 3 4" xfId="1661" xr:uid="{85F600CF-6AA8-46C7-95A4-2F106DE44A76}"/>
    <cellStyle name="Normal 4 2 2 3 2 2 4" xfId="2074" xr:uid="{81252646-15E3-400E-85D4-B481B05E96EE}"/>
    <cellStyle name="Normal 4 2 2 3 2 2 4 2" xfId="4303" xr:uid="{336C15E4-B85F-4A1F-A0EB-885F12C71A42}"/>
    <cellStyle name="Normal 4 2 2 3 2 2 4 2 2" xfId="8521" xr:uid="{B93B57DE-C45F-4FCA-BBF0-14827329D8A7}"/>
    <cellStyle name="Normal 4 2 2 3 2 2 4 3" xfId="6376" xr:uid="{946E2210-3F28-4EF1-9C28-4231CE559832}"/>
    <cellStyle name="Normal 4 2 2 3 2 2 5" xfId="2487" xr:uid="{66FA0BAB-D0D6-4DF3-900F-5772400A8E2F}"/>
    <cellStyle name="Normal 4 2 2 3 2 2 5 2" xfId="4716" xr:uid="{3ABB0BDB-6C20-4662-9D0E-1C578A054824}"/>
    <cellStyle name="Normal 4 2 2 3 2 2 5 2 2" xfId="8934" xr:uid="{B5836004-063D-46A5-AE40-524B6C8780CC}"/>
    <cellStyle name="Normal 4 2 2 3 2 2 5 3" xfId="6789" xr:uid="{DF87F633-3862-48CC-A9E9-79800863E422}"/>
    <cellStyle name="Normal 4 2 2 3 2 2 6" xfId="2900" xr:uid="{4F806D4A-C306-4F66-A027-2501A7B6C192}"/>
    <cellStyle name="Normal 4 2 2 3 2 2 6 2" xfId="5129" xr:uid="{EB30599D-3CCE-4665-9E35-6CAFBEA914D5}"/>
    <cellStyle name="Normal 4 2 2 3 2 2 6 2 2" xfId="9347" xr:uid="{03B89D0B-2E2D-4183-B93C-F7A4A253DF8A}"/>
    <cellStyle name="Normal 4 2 2 3 2 2 6 3" xfId="7202" xr:uid="{6A98DB46-5BB1-45B6-B5BF-61FA96A6D367}"/>
    <cellStyle name="Normal 4 2 2 3 2 2 7" xfId="3336" xr:uid="{C19F2348-5426-4D82-8761-263FD8E960BA}"/>
    <cellStyle name="Normal 4 2 2 3 2 2 7 2" xfId="7615" xr:uid="{2D81349B-85A0-4DB3-9C7F-42AB8BF05822}"/>
    <cellStyle name="Normal 4 2 2 3 2 2 8" xfId="5550" xr:uid="{05FCCBD3-2F92-415A-8C4D-170E8B41D1DB}"/>
    <cellStyle name="Normal 4 2 2 3 2 2 9" xfId="1246" xr:uid="{E7AEDA5E-3D2C-4DA8-AA79-84DD2C5EE836}"/>
    <cellStyle name="Normal 4 2 2 3 2 3" xfId="346" xr:uid="{00000000-0005-0000-0000-000054020000}"/>
    <cellStyle name="Normal 4 2 2 3 2 3 2" xfId="828" xr:uid="{00000000-0005-0000-0000-000055020000}"/>
    <cellStyle name="Normal 4 2 2 3 2 3 2 2" xfId="3892" xr:uid="{173BCE54-67FA-4B79-802A-DEF7B9E9B0B9}"/>
    <cellStyle name="Normal 4 2 2 3 2 3 2 2 2" xfId="8110" xr:uid="{A9E947E4-A959-4B9A-8847-77A14168BCB2}"/>
    <cellStyle name="Normal 4 2 2 3 2 3 2 3" xfId="5965" xr:uid="{B836F09B-9BA5-4942-B5FD-F6E12E30E0D6}"/>
    <cellStyle name="Normal 4 2 2 3 2 3 2 4" xfId="1663" xr:uid="{783D194D-2E3F-4EC5-9E9B-853E6D3558FD}"/>
    <cellStyle name="Normal 4 2 2 3 2 3 3" xfId="2076" xr:uid="{87C4B178-6EEB-459F-9966-21F06DC1FFAB}"/>
    <cellStyle name="Normal 4 2 2 3 2 3 3 2" xfId="4305" xr:uid="{3A717064-94E7-4823-9860-999A2A6531AC}"/>
    <cellStyle name="Normal 4 2 2 3 2 3 3 2 2" xfId="8523" xr:uid="{FBFA0AF7-6FEC-440B-A73C-4E09C3162D28}"/>
    <cellStyle name="Normal 4 2 2 3 2 3 3 3" xfId="6378" xr:uid="{01FCDEE2-85B5-4D1D-893A-7B8C5FBCE016}"/>
    <cellStyle name="Normal 4 2 2 3 2 3 4" xfId="2489" xr:uid="{07A2F857-A5C3-4733-B3A9-F3A730747B93}"/>
    <cellStyle name="Normal 4 2 2 3 2 3 4 2" xfId="4718" xr:uid="{3C131AA4-BD1A-425F-A7C8-720C46078A1F}"/>
    <cellStyle name="Normal 4 2 2 3 2 3 4 2 2" xfId="8936" xr:uid="{B2BBC7AA-16EC-4B57-A071-3B7DC21FE563}"/>
    <cellStyle name="Normal 4 2 2 3 2 3 4 3" xfId="6791" xr:uid="{6ECB14EA-8CDD-4B8F-B988-F55E0DD88A90}"/>
    <cellStyle name="Normal 4 2 2 3 2 3 5" xfId="2902" xr:uid="{DE2D202F-7E0F-4D66-B254-ACDEFE277355}"/>
    <cellStyle name="Normal 4 2 2 3 2 3 5 2" xfId="5131" xr:uid="{653C8CC5-128F-41E2-B821-EEDF38E59868}"/>
    <cellStyle name="Normal 4 2 2 3 2 3 5 2 2" xfId="9349" xr:uid="{16FDFD6E-F6CD-44A9-B865-DACEC385B03C}"/>
    <cellStyle name="Normal 4 2 2 3 2 3 5 3" xfId="7204" xr:uid="{B68A6D23-5742-48CF-9C92-89A706ADC610}"/>
    <cellStyle name="Normal 4 2 2 3 2 3 6" xfId="3338" xr:uid="{3A79E2AD-541C-455B-96EF-EFA718CE0524}"/>
    <cellStyle name="Normal 4 2 2 3 2 3 6 2" xfId="7617" xr:uid="{93CA99DC-BE39-436B-9AF7-8CEA8EAA026C}"/>
    <cellStyle name="Normal 4 2 2 3 2 3 7" xfId="5552" xr:uid="{263A79F5-071A-4EB4-9D81-E51CA4415E7E}"/>
    <cellStyle name="Normal 4 2 2 3 2 3 8" xfId="1248" xr:uid="{EF65736C-203B-4B45-9339-24456B816818}"/>
    <cellStyle name="Normal 4 2 2 3 2 4" xfId="825" xr:uid="{00000000-0005-0000-0000-000056020000}"/>
    <cellStyle name="Normal 4 2 2 3 2 4 2" xfId="3889" xr:uid="{2F46EDF9-2175-4A3A-A30F-0349AACFEC1D}"/>
    <cellStyle name="Normal 4 2 2 3 2 4 2 2" xfId="8107" xr:uid="{1D2FC569-665E-47DF-B3D7-6742AB2A9CAB}"/>
    <cellStyle name="Normal 4 2 2 3 2 4 3" xfId="5962" xr:uid="{D9335087-9089-42E8-AC75-0B698D290328}"/>
    <cellStyle name="Normal 4 2 2 3 2 4 4" xfId="1660" xr:uid="{ECC66254-AB9A-4097-9561-C7F0CD736BBE}"/>
    <cellStyle name="Normal 4 2 2 3 2 5" xfId="2073" xr:uid="{C7632546-9C92-44C1-8EC9-64B89DA3349F}"/>
    <cellStyle name="Normal 4 2 2 3 2 5 2" xfId="4302" xr:uid="{7C4CCE4F-33C2-4CA8-B67D-AD1E700A7074}"/>
    <cellStyle name="Normal 4 2 2 3 2 5 2 2" xfId="8520" xr:uid="{7C4E4B9E-A9A1-4AC4-B3CE-8B344E766588}"/>
    <cellStyle name="Normal 4 2 2 3 2 5 3" xfId="6375" xr:uid="{4E6A1F56-792B-4E71-95A4-4D38072AE434}"/>
    <cellStyle name="Normal 4 2 2 3 2 6" xfId="2486" xr:uid="{2EDDEB6C-78D4-431D-BF7D-A4E4B2AC2D1F}"/>
    <cellStyle name="Normal 4 2 2 3 2 6 2" xfId="4715" xr:uid="{CB572E31-FC47-4CD9-B2F2-30107CB7CD52}"/>
    <cellStyle name="Normal 4 2 2 3 2 6 2 2" xfId="8933" xr:uid="{9ADA987E-E46E-40C8-82F2-0D3F47D9B9DA}"/>
    <cellStyle name="Normal 4 2 2 3 2 6 3" xfId="6788" xr:uid="{D8D6AF18-2D11-4C25-83EE-28BB8296024B}"/>
    <cellStyle name="Normal 4 2 2 3 2 7" xfId="2899" xr:uid="{D0711D04-10DE-42C5-B152-4AC20F3A2432}"/>
    <cellStyle name="Normal 4 2 2 3 2 7 2" xfId="5128" xr:uid="{0D37F539-3D7E-46C2-9727-39B2C0982FB3}"/>
    <cellStyle name="Normal 4 2 2 3 2 7 2 2" xfId="9346" xr:uid="{913AD8DA-5A36-4D97-9406-0726A3E6EF26}"/>
    <cellStyle name="Normal 4 2 2 3 2 7 3" xfId="7201" xr:uid="{83400B0C-FA07-4E6A-A8A1-5E1E04275511}"/>
    <cellStyle name="Normal 4 2 2 3 2 8" xfId="3335" xr:uid="{4BF2E80D-53EC-4061-8752-F0F5D7863424}"/>
    <cellStyle name="Normal 4 2 2 3 2 8 2" xfId="7614" xr:uid="{F45FE98E-E2CC-4CC6-80F3-B3E04BB4A2D9}"/>
    <cellStyle name="Normal 4 2 2 3 2 9" xfId="5549" xr:uid="{32684FA4-815B-4A6B-A59D-AE0EACCE302C}"/>
    <cellStyle name="Normal 4 2 2 3 3" xfId="347" xr:uid="{00000000-0005-0000-0000-000057020000}"/>
    <cellStyle name="Normal 4 2 2 3 3 2" xfId="348" xr:uid="{00000000-0005-0000-0000-000058020000}"/>
    <cellStyle name="Normal 4 2 2 3 3 2 2" xfId="830" xr:uid="{00000000-0005-0000-0000-000059020000}"/>
    <cellStyle name="Normal 4 2 2 3 3 2 2 2" xfId="3894" xr:uid="{51A7B616-4AE6-40A4-9911-40059D407415}"/>
    <cellStyle name="Normal 4 2 2 3 3 2 2 2 2" xfId="8112" xr:uid="{E4794E3C-ECA2-4488-8D1C-301F757D735E}"/>
    <cellStyle name="Normal 4 2 2 3 3 2 2 3" xfId="5967" xr:uid="{0B36319E-6B81-4A0D-A778-3EA2BE3EFF15}"/>
    <cellStyle name="Normal 4 2 2 3 3 2 2 4" xfId="1665" xr:uid="{2B0E8EAB-992D-4128-B6C5-0134D0FB9FB9}"/>
    <cellStyle name="Normal 4 2 2 3 3 2 3" xfId="2078" xr:uid="{DC823540-A416-4867-916D-2E12B1650349}"/>
    <cellStyle name="Normal 4 2 2 3 3 2 3 2" xfId="4307" xr:uid="{9CF23C26-455A-4A41-A239-1C1F92A43BAD}"/>
    <cellStyle name="Normal 4 2 2 3 3 2 3 2 2" xfId="8525" xr:uid="{4429EE30-1317-4EB6-9548-E023D87675D9}"/>
    <cellStyle name="Normal 4 2 2 3 3 2 3 3" xfId="6380" xr:uid="{BF3368FA-2468-410B-A08F-34668899717F}"/>
    <cellStyle name="Normal 4 2 2 3 3 2 4" xfId="2491" xr:uid="{26E7B710-4EAB-4723-A70A-FEEAC500F1D3}"/>
    <cellStyle name="Normal 4 2 2 3 3 2 4 2" xfId="4720" xr:uid="{CC31ABA5-89D5-4621-BB09-CA9E0CED0011}"/>
    <cellStyle name="Normal 4 2 2 3 3 2 4 2 2" xfId="8938" xr:uid="{24889BE2-ACFB-4CEF-A1C7-239FF4238F14}"/>
    <cellStyle name="Normal 4 2 2 3 3 2 4 3" xfId="6793" xr:uid="{CFF44A99-34EA-4AA7-84E2-1AE160438C82}"/>
    <cellStyle name="Normal 4 2 2 3 3 2 5" xfId="2904" xr:uid="{3B3F5CFF-3F63-4E3A-B43D-956854201CB5}"/>
    <cellStyle name="Normal 4 2 2 3 3 2 5 2" xfId="5133" xr:uid="{2C04365F-4DF8-4E4E-9A0A-5E0C75850D7C}"/>
    <cellStyle name="Normal 4 2 2 3 3 2 5 2 2" xfId="9351" xr:uid="{D83DBE24-7602-4943-8068-44414A3CD5A3}"/>
    <cellStyle name="Normal 4 2 2 3 3 2 5 3" xfId="7206" xr:uid="{DABAE65F-A0BC-498D-A86A-1344E58C3CA1}"/>
    <cellStyle name="Normal 4 2 2 3 3 2 6" xfId="3340" xr:uid="{A01CC793-CBF8-4A1B-9CA0-951D8063D6AD}"/>
    <cellStyle name="Normal 4 2 2 3 3 2 6 2" xfId="7619" xr:uid="{0DC1D6EC-0A32-44AF-B773-E44558FAD9F4}"/>
    <cellStyle name="Normal 4 2 2 3 3 2 7" xfId="5554" xr:uid="{5FA7C871-9AF2-4A93-9EB4-AA87D3F08B35}"/>
    <cellStyle name="Normal 4 2 2 3 3 2 8" xfId="1250" xr:uid="{069F57F5-66B2-435F-A64A-BA3C80BC1444}"/>
    <cellStyle name="Normal 4 2 2 3 3 3" xfId="829" xr:uid="{00000000-0005-0000-0000-00005A020000}"/>
    <cellStyle name="Normal 4 2 2 3 3 3 2" xfId="3893" xr:uid="{1024E4B8-8B5D-412E-9B2B-AACC421C710D}"/>
    <cellStyle name="Normal 4 2 2 3 3 3 2 2" xfId="8111" xr:uid="{16B807BD-8CC5-43FE-AAFD-740C731A1A62}"/>
    <cellStyle name="Normal 4 2 2 3 3 3 3" xfId="5966" xr:uid="{8AA1FD40-5A41-4BBA-AF62-2CFFA8F45C26}"/>
    <cellStyle name="Normal 4 2 2 3 3 3 4" xfId="1664" xr:uid="{7AD1A0E4-E7A7-4771-A612-E20651953D7F}"/>
    <cellStyle name="Normal 4 2 2 3 3 4" xfId="2077" xr:uid="{E5CB2877-82B4-4DF3-8888-B11233348F9B}"/>
    <cellStyle name="Normal 4 2 2 3 3 4 2" xfId="4306" xr:uid="{35886B7E-C8F2-4B80-B7B0-B70CC8C9A4E4}"/>
    <cellStyle name="Normal 4 2 2 3 3 4 2 2" xfId="8524" xr:uid="{AE85A560-7EC0-4FD5-807F-CE541AF193B5}"/>
    <cellStyle name="Normal 4 2 2 3 3 4 3" xfId="6379" xr:uid="{83E12840-126A-4993-91FE-5D9503D2B58C}"/>
    <cellStyle name="Normal 4 2 2 3 3 5" xfId="2490" xr:uid="{712A6B5F-EC88-4D58-8364-618CE514C950}"/>
    <cellStyle name="Normal 4 2 2 3 3 5 2" xfId="4719" xr:uid="{6595B7C5-D6FD-4049-9300-E3B082EB0923}"/>
    <cellStyle name="Normal 4 2 2 3 3 5 2 2" xfId="8937" xr:uid="{EB1BB994-8AB6-45B6-88D4-29F8655EAD53}"/>
    <cellStyle name="Normal 4 2 2 3 3 5 3" xfId="6792" xr:uid="{09C5C141-8E33-41B0-9923-0604A659C0AB}"/>
    <cellStyle name="Normal 4 2 2 3 3 6" xfId="2903" xr:uid="{725136AE-53CE-43F9-A87C-7CE9154CD01F}"/>
    <cellStyle name="Normal 4 2 2 3 3 6 2" xfId="5132" xr:uid="{44C9C6DC-D876-4F5C-972A-4D9CE059E7D9}"/>
    <cellStyle name="Normal 4 2 2 3 3 6 2 2" xfId="9350" xr:uid="{B7C8715B-CBCC-4EA4-882E-F33C70BF4471}"/>
    <cellStyle name="Normal 4 2 2 3 3 6 3" xfId="7205" xr:uid="{AABDE7A0-1419-4B3D-8DC1-54C68E3F8AFA}"/>
    <cellStyle name="Normal 4 2 2 3 3 7" xfId="3339" xr:uid="{54B95B98-B42D-4B5F-A683-D34DE1326532}"/>
    <cellStyle name="Normal 4 2 2 3 3 7 2" xfId="7618" xr:uid="{E52D7520-CBEB-4C7B-8C40-2FB60F518EDF}"/>
    <cellStyle name="Normal 4 2 2 3 3 8" xfId="5553" xr:uid="{ACF6CB9A-8EE2-43FD-A4BE-3D5AD1B6A40A}"/>
    <cellStyle name="Normal 4 2 2 3 3 9" xfId="1249" xr:uid="{C6642BB8-EDD4-427E-B715-13F03A2DD628}"/>
    <cellStyle name="Normal 4 2 2 3 4" xfId="349" xr:uid="{00000000-0005-0000-0000-00005B020000}"/>
    <cellStyle name="Normal 4 2 2 3 4 2" xfId="831" xr:uid="{00000000-0005-0000-0000-00005C020000}"/>
    <cellStyle name="Normal 4 2 2 3 4 2 2" xfId="3895" xr:uid="{857B2BD1-4026-4685-921E-AE0C9ABE31F8}"/>
    <cellStyle name="Normal 4 2 2 3 4 2 2 2" xfId="8113" xr:uid="{989553CB-0AB7-47E9-BB75-18682A0730D5}"/>
    <cellStyle name="Normal 4 2 2 3 4 2 3" xfId="5968" xr:uid="{036E3A44-06FA-4F3D-B493-C877E82688AB}"/>
    <cellStyle name="Normal 4 2 2 3 4 2 4" xfId="1666" xr:uid="{A875FD8A-F36A-472C-936E-559AE9BB29FC}"/>
    <cellStyle name="Normal 4 2 2 3 4 3" xfId="2079" xr:uid="{8861E9B7-ABEE-4C9E-A1FF-954E8F213451}"/>
    <cellStyle name="Normal 4 2 2 3 4 3 2" xfId="4308" xr:uid="{8581C600-9BE0-4AA4-9E1C-77B5421A02A3}"/>
    <cellStyle name="Normal 4 2 2 3 4 3 2 2" xfId="8526" xr:uid="{7485D218-0B13-40C9-8C48-7AC5B2BE41CB}"/>
    <cellStyle name="Normal 4 2 2 3 4 3 3" xfId="6381" xr:uid="{AC2695A6-126C-457D-96F1-20B8E6EE4C1D}"/>
    <cellStyle name="Normal 4 2 2 3 4 4" xfId="2492" xr:uid="{2A5A0186-6EB7-4126-8F80-CDB6DD01E0B7}"/>
    <cellStyle name="Normal 4 2 2 3 4 4 2" xfId="4721" xr:uid="{749FF1EF-CABE-40BB-B1DB-0F4EACB7F75C}"/>
    <cellStyle name="Normal 4 2 2 3 4 4 2 2" xfId="8939" xr:uid="{5057EA1F-873E-4E27-B88D-D859B0FADC1A}"/>
    <cellStyle name="Normal 4 2 2 3 4 4 3" xfId="6794" xr:uid="{6925D743-9DEB-4276-9C10-CA4E98772C9B}"/>
    <cellStyle name="Normal 4 2 2 3 4 5" xfId="2905" xr:uid="{4C0217F1-224F-401F-B909-965D9E1D1414}"/>
    <cellStyle name="Normal 4 2 2 3 4 5 2" xfId="5134" xr:uid="{A0BB5EC9-6342-42E8-8A8F-D138CD705FC1}"/>
    <cellStyle name="Normal 4 2 2 3 4 5 2 2" xfId="9352" xr:uid="{D6F91AFB-6BF9-495F-82D0-BDEE7FA5F76D}"/>
    <cellStyle name="Normal 4 2 2 3 4 5 3" xfId="7207" xr:uid="{98ECA30E-4D5C-4371-AC6F-B10C6F361CF9}"/>
    <cellStyle name="Normal 4 2 2 3 4 6" xfId="3341" xr:uid="{DDEA2ED5-F46C-4264-90C9-0D02A5EF04D3}"/>
    <cellStyle name="Normal 4 2 2 3 4 6 2" xfId="7620" xr:uid="{9BB0A169-9D0B-41FB-BBDB-8C61425D287C}"/>
    <cellStyle name="Normal 4 2 2 3 4 7" xfId="5555" xr:uid="{B22E31DE-A984-4926-83B3-28CE57D5837D}"/>
    <cellStyle name="Normal 4 2 2 3 4 8" xfId="1251" xr:uid="{21637247-73BE-4D2B-A577-263E01150DE7}"/>
    <cellStyle name="Normal 4 2 2 3 5" xfId="824" xr:uid="{00000000-0005-0000-0000-00005D020000}"/>
    <cellStyle name="Normal 4 2 2 3 5 2" xfId="3888" xr:uid="{52AB97A6-8AC3-45D2-A2BA-663C1DD61181}"/>
    <cellStyle name="Normal 4 2 2 3 5 2 2" xfId="8106" xr:uid="{49A1ACDB-847A-443B-9D9A-77DFE613A5B8}"/>
    <cellStyle name="Normal 4 2 2 3 5 3" xfId="5961" xr:uid="{5A125887-C348-4ECE-8693-2FB9ED66209A}"/>
    <cellStyle name="Normal 4 2 2 3 5 4" xfId="1659" xr:uid="{2764C497-97A0-4678-A9E5-42F97345E463}"/>
    <cellStyle name="Normal 4 2 2 3 6" xfId="2072" xr:uid="{ADE1AEB9-E6D9-47A8-9CCA-9632103BB5CD}"/>
    <cellStyle name="Normal 4 2 2 3 6 2" xfId="4301" xr:uid="{D51F9067-A927-45BF-B7FD-FBC380A5A3E6}"/>
    <cellStyle name="Normal 4 2 2 3 6 2 2" xfId="8519" xr:uid="{049F422A-B330-45FB-AB75-F74A26901DD8}"/>
    <cellStyle name="Normal 4 2 2 3 6 3" xfId="6374" xr:uid="{98CB263B-16D2-4E2C-BB50-4C61B0A9A52D}"/>
    <cellStyle name="Normal 4 2 2 3 7" xfId="2485" xr:uid="{A0F45B45-CFE2-46AC-8B7C-7F11E0761C1D}"/>
    <cellStyle name="Normal 4 2 2 3 7 2" xfId="4714" xr:uid="{5CE3474E-11F5-424E-9B69-BD5963E44391}"/>
    <cellStyle name="Normal 4 2 2 3 7 2 2" xfId="8932" xr:uid="{8ED891F5-F3E7-433C-9F51-10126DC07D35}"/>
    <cellStyle name="Normal 4 2 2 3 7 3" xfId="6787" xr:uid="{3B6A4FF7-74B0-4225-A90D-CE8441C6A557}"/>
    <cellStyle name="Normal 4 2 2 3 8" xfId="2898" xr:uid="{CFCF8709-B5B5-46BF-A4B8-53AEE61F8988}"/>
    <cellStyle name="Normal 4 2 2 3 8 2" xfId="5127" xr:uid="{E700B64F-B6E0-457A-B613-8AB03D68FBF2}"/>
    <cellStyle name="Normal 4 2 2 3 8 2 2" xfId="9345" xr:uid="{009AD433-C421-4389-8168-BEF9CD814D84}"/>
    <cellStyle name="Normal 4 2 2 3 8 3" xfId="7200" xr:uid="{6C6BFDBA-9701-449F-8C4D-5BA1B24DDCE2}"/>
    <cellStyle name="Normal 4 2 2 3 9" xfId="3334" xr:uid="{D8AB67A5-F145-4822-B821-3CD92A05DE00}"/>
    <cellStyle name="Normal 4 2 2 3 9 2" xfId="7613" xr:uid="{4761DEC1-A53F-49F2-A013-00A2399DB8ED}"/>
    <cellStyle name="Normal 4 2 2 4" xfId="350" xr:uid="{00000000-0005-0000-0000-00005E020000}"/>
    <cellStyle name="Normal 4 2 2 4 10" xfId="1252" xr:uid="{55C72636-668B-427C-A259-4BFDE844FC6C}"/>
    <cellStyle name="Normal 4 2 2 4 2" xfId="351" xr:uid="{00000000-0005-0000-0000-00005F020000}"/>
    <cellStyle name="Normal 4 2 2 4 2 2" xfId="352" xr:uid="{00000000-0005-0000-0000-000060020000}"/>
    <cellStyle name="Normal 4 2 2 4 2 2 2" xfId="834" xr:uid="{00000000-0005-0000-0000-000061020000}"/>
    <cellStyle name="Normal 4 2 2 4 2 2 2 2" xfId="3898" xr:uid="{5855F88C-82ED-4236-B26B-D8CBD7380A9B}"/>
    <cellStyle name="Normal 4 2 2 4 2 2 2 2 2" xfId="8116" xr:uid="{01FB47AB-67A9-48D0-A5D5-ADDE8D4E44E5}"/>
    <cellStyle name="Normal 4 2 2 4 2 2 2 3" xfId="5971" xr:uid="{A4CC1124-4F1A-43D2-B00C-63371EC558C5}"/>
    <cellStyle name="Normal 4 2 2 4 2 2 2 4" xfId="1669" xr:uid="{A983E39A-E5FA-4BFA-9EE4-94F6CA033054}"/>
    <cellStyle name="Normal 4 2 2 4 2 2 3" xfId="2082" xr:uid="{F815F27C-9034-49AA-A83F-468C823C1CA7}"/>
    <cellStyle name="Normal 4 2 2 4 2 2 3 2" xfId="4311" xr:uid="{87465FA1-A4D5-4BFF-A29B-CEC8A91BE28B}"/>
    <cellStyle name="Normal 4 2 2 4 2 2 3 2 2" xfId="8529" xr:uid="{155F3EDD-8584-41B5-8C4B-EF43E0EB6AE3}"/>
    <cellStyle name="Normal 4 2 2 4 2 2 3 3" xfId="6384" xr:uid="{DF2C8A92-0D42-443A-8A66-644B5EA3DF23}"/>
    <cellStyle name="Normal 4 2 2 4 2 2 4" xfId="2495" xr:uid="{E017D3CB-EDE8-4C2D-964A-B6623BAFB3B7}"/>
    <cellStyle name="Normal 4 2 2 4 2 2 4 2" xfId="4724" xr:uid="{0DF650F4-92DA-4902-9179-57D816C65B4D}"/>
    <cellStyle name="Normal 4 2 2 4 2 2 4 2 2" xfId="8942" xr:uid="{16BCA6BF-A1C5-4EED-8555-88490FFBDC18}"/>
    <cellStyle name="Normal 4 2 2 4 2 2 4 3" xfId="6797" xr:uid="{9BD7A0AF-6E61-42CA-B198-EDA965E1C0F4}"/>
    <cellStyle name="Normal 4 2 2 4 2 2 5" xfId="2908" xr:uid="{CC3103F8-81D9-46A0-ADE4-97C3A2E8061E}"/>
    <cellStyle name="Normal 4 2 2 4 2 2 5 2" xfId="5137" xr:uid="{9B3D49EF-F106-4B9A-9AAF-6C550FB503DE}"/>
    <cellStyle name="Normal 4 2 2 4 2 2 5 2 2" xfId="9355" xr:uid="{72C62712-0BF3-48DF-9292-E64AE1705376}"/>
    <cellStyle name="Normal 4 2 2 4 2 2 5 3" xfId="7210" xr:uid="{3DB96B35-8D55-40BA-897D-100175355E0D}"/>
    <cellStyle name="Normal 4 2 2 4 2 2 6" xfId="3344" xr:uid="{4E7BFDE9-09B6-4E26-AD73-F7C6105E6BBD}"/>
    <cellStyle name="Normal 4 2 2 4 2 2 6 2" xfId="7623" xr:uid="{84963BCE-B780-4FBB-A471-19BAE8E757E6}"/>
    <cellStyle name="Normal 4 2 2 4 2 2 7" xfId="5558" xr:uid="{D37A520F-2556-49BB-910D-43661AAB75EC}"/>
    <cellStyle name="Normal 4 2 2 4 2 2 8" xfId="1254" xr:uid="{F5F52987-8A60-4B5D-B7DD-E1A5AEC6A3AB}"/>
    <cellStyle name="Normal 4 2 2 4 2 3" xfId="833" xr:uid="{00000000-0005-0000-0000-000062020000}"/>
    <cellStyle name="Normal 4 2 2 4 2 3 2" xfId="3897" xr:uid="{5DD49678-977B-4566-A76D-9CFA3BDC98D8}"/>
    <cellStyle name="Normal 4 2 2 4 2 3 2 2" xfId="8115" xr:uid="{89E75E0A-5EE9-45F0-B3AF-29333AE8F8C4}"/>
    <cellStyle name="Normal 4 2 2 4 2 3 3" xfId="5970" xr:uid="{340BE61F-84FC-4470-93AA-D30E3F3C7680}"/>
    <cellStyle name="Normal 4 2 2 4 2 3 4" xfId="1668" xr:uid="{67B124A1-D5BF-44F7-92E2-02D6E6478754}"/>
    <cellStyle name="Normal 4 2 2 4 2 4" xfId="2081" xr:uid="{84E90EA0-A3D2-44E9-ABC9-A5E314CB93E8}"/>
    <cellStyle name="Normal 4 2 2 4 2 4 2" xfId="4310" xr:uid="{0D41EA76-366D-425E-A95F-9D722DEA5ADF}"/>
    <cellStyle name="Normal 4 2 2 4 2 4 2 2" xfId="8528" xr:uid="{E81A0D98-93DC-4F4E-AE71-DB07D0972B57}"/>
    <cellStyle name="Normal 4 2 2 4 2 4 3" xfId="6383" xr:uid="{24C7F223-8D35-4EB7-8239-92B2D306F628}"/>
    <cellStyle name="Normal 4 2 2 4 2 5" xfId="2494" xr:uid="{5C1C58E3-18DD-46D7-8161-EC97B3510B50}"/>
    <cellStyle name="Normal 4 2 2 4 2 5 2" xfId="4723" xr:uid="{89CDF051-3D01-4D83-8267-091432F91261}"/>
    <cellStyle name="Normal 4 2 2 4 2 5 2 2" xfId="8941" xr:uid="{DA16A602-F1C6-452C-BEED-A086E1721991}"/>
    <cellStyle name="Normal 4 2 2 4 2 5 3" xfId="6796" xr:uid="{5A666B18-D786-458F-B234-276630D82642}"/>
    <cellStyle name="Normal 4 2 2 4 2 6" xfId="2907" xr:uid="{FAD21F44-2D16-4481-AB66-94B15E1C78B6}"/>
    <cellStyle name="Normal 4 2 2 4 2 6 2" xfId="5136" xr:uid="{AC4AB15E-8375-4D24-B1C8-893E3B8DC6AA}"/>
    <cellStyle name="Normal 4 2 2 4 2 6 2 2" xfId="9354" xr:uid="{8FAFDB93-45EF-489B-AB5F-0EA26C2C5471}"/>
    <cellStyle name="Normal 4 2 2 4 2 6 3" xfId="7209" xr:uid="{1A91A5FF-95E4-4107-8F3E-FDCF95B87D2E}"/>
    <cellStyle name="Normal 4 2 2 4 2 7" xfId="3343" xr:uid="{0B0341CA-6EF0-4C66-9752-22F587EDE56F}"/>
    <cellStyle name="Normal 4 2 2 4 2 7 2" xfId="7622" xr:uid="{071D863F-E75D-4225-A1C1-3CA36C9BEB1C}"/>
    <cellStyle name="Normal 4 2 2 4 2 8" xfId="5557" xr:uid="{C0A6F021-760A-43F6-89A1-07E34676697D}"/>
    <cellStyle name="Normal 4 2 2 4 2 9" xfId="1253" xr:uid="{2116552C-C440-486A-9B6E-96EB70A815BA}"/>
    <cellStyle name="Normal 4 2 2 4 3" xfId="353" xr:uid="{00000000-0005-0000-0000-000063020000}"/>
    <cellStyle name="Normal 4 2 2 4 3 2" xfId="835" xr:uid="{00000000-0005-0000-0000-000064020000}"/>
    <cellStyle name="Normal 4 2 2 4 3 2 2" xfId="3899" xr:uid="{F90DC05C-71F0-4C36-B0B8-7F8B18230324}"/>
    <cellStyle name="Normal 4 2 2 4 3 2 2 2" xfId="8117" xr:uid="{152A1222-4759-4C33-B609-A7AF6C50D6F6}"/>
    <cellStyle name="Normal 4 2 2 4 3 2 3" xfId="5972" xr:uid="{3C976FAB-DF0F-40E5-9DD7-F947B6D28ECF}"/>
    <cellStyle name="Normal 4 2 2 4 3 2 4" xfId="1670" xr:uid="{D24D5A0D-9E11-429F-921D-F672AFC41317}"/>
    <cellStyle name="Normal 4 2 2 4 3 3" xfId="2083" xr:uid="{8C40413A-52CC-4697-B3D7-8F4C992DC092}"/>
    <cellStyle name="Normal 4 2 2 4 3 3 2" xfId="4312" xr:uid="{9F678146-6737-401C-917F-7A0B258B2DA0}"/>
    <cellStyle name="Normal 4 2 2 4 3 3 2 2" xfId="8530" xr:uid="{D399F42A-EE9F-42A7-A145-833B26460B63}"/>
    <cellStyle name="Normal 4 2 2 4 3 3 3" xfId="6385" xr:uid="{1302AF75-391F-422E-8077-A616801502E2}"/>
    <cellStyle name="Normal 4 2 2 4 3 4" xfId="2496" xr:uid="{617CA7EB-4D49-4FFB-8AE7-628895AF5A77}"/>
    <cellStyle name="Normal 4 2 2 4 3 4 2" xfId="4725" xr:uid="{E35529BE-7280-4653-8C20-F562CC82D73C}"/>
    <cellStyle name="Normal 4 2 2 4 3 4 2 2" xfId="8943" xr:uid="{540A4278-87BF-402D-ACC9-BABD5C2C1F5B}"/>
    <cellStyle name="Normal 4 2 2 4 3 4 3" xfId="6798" xr:uid="{5C6C92B6-EFE8-4CC3-9C1A-3B9BC1AB4E93}"/>
    <cellStyle name="Normal 4 2 2 4 3 5" xfId="2909" xr:uid="{57ECC1B8-4D48-49FB-A867-DD3FCE86E763}"/>
    <cellStyle name="Normal 4 2 2 4 3 5 2" xfId="5138" xr:uid="{6D75A0D2-D473-46A1-A19D-A562FDCEA05C}"/>
    <cellStyle name="Normal 4 2 2 4 3 5 2 2" xfId="9356" xr:uid="{5BAD60EF-88C3-4724-ABD6-381153EEE12B}"/>
    <cellStyle name="Normal 4 2 2 4 3 5 3" xfId="7211" xr:uid="{45D0F8BC-892B-40CC-A66E-C6C9A719D233}"/>
    <cellStyle name="Normal 4 2 2 4 3 6" xfId="3345" xr:uid="{2CEBD9D5-59D7-4AF8-9ED8-94B6225D6679}"/>
    <cellStyle name="Normal 4 2 2 4 3 6 2" xfId="7624" xr:uid="{94630DA6-2FA1-4B48-847A-5130FB3981B8}"/>
    <cellStyle name="Normal 4 2 2 4 3 7" xfId="5559" xr:uid="{A220D1AC-7126-4BC4-B245-DA2983E19FD8}"/>
    <cellStyle name="Normal 4 2 2 4 3 8" xfId="1255" xr:uid="{B09A30D3-701B-420D-BA52-F65047C2196F}"/>
    <cellStyle name="Normal 4 2 2 4 4" xfId="832" xr:uid="{00000000-0005-0000-0000-000065020000}"/>
    <cellStyle name="Normal 4 2 2 4 4 2" xfId="3896" xr:uid="{A1BD1B28-669A-4B5F-A0E4-550DB32FFC3C}"/>
    <cellStyle name="Normal 4 2 2 4 4 2 2" xfId="8114" xr:uid="{0F33B926-6205-4669-B954-97F33DEEAE0A}"/>
    <cellStyle name="Normal 4 2 2 4 4 3" xfId="5969" xr:uid="{57E498B6-CB73-49EF-B94D-064162337F91}"/>
    <cellStyle name="Normal 4 2 2 4 4 4" xfId="1667" xr:uid="{3295E772-221F-4725-A7A7-C1DD51ADB284}"/>
    <cellStyle name="Normal 4 2 2 4 5" xfId="2080" xr:uid="{752F1A79-290D-43DA-A9CB-489F88C46423}"/>
    <cellStyle name="Normal 4 2 2 4 5 2" xfId="4309" xr:uid="{0A4CD2E4-DCE0-49DD-84B9-1CB036FF3D27}"/>
    <cellStyle name="Normal 4 2 2 4 5 2 2" xfId="8527" xr:uid="{F931F953-A4BE-4997-B8C5-42DDE9480004}"/>
    <cellStyle name="Normal 4 2 2 4 5 3" xfId="6382" xr:uid="{BBBE5838-87F0-4621-BFE2-BE13ADF79DE7}"/>
    <cellStyle name="Normal 4 2 2 4 6" xfId="2493" xr:uid="{CC5030F0-B386-4A95-9DB8-EC34963143C2}"/>
    <cellStyle name="Normal 4 2 2 4 6 2" xfId="4722" xr:uid="{9E607375-CE6E-4FE7-A5FF-F40ED3B96D44}"/>
    <cellStyle name="Normal 4 2 2 4 6 2 2" xfId="8940" xr:uid="{3BA6C6A4-D04B-49EB-AA3F-F26198BA4AB7}"/>
    <cellStyle name="Normal 4 2 2 4 6 3" xfId="6795" xr:uid="{8062A5A0-B71E-4216-92FB-AB4F264842C0}"/>
    <cellStyle name="Normal 4 2 2 4 7" xfId="2906" xr:uid="{F4086224-8B8D-4740-B1CC-11214925F6A8}"/>
    <cellStyle name="Normal 4 2 2 4 7 2" xfId="5135" xr:uid="{5C55F8D8-8F62-43CB-B6D5-D5EF1AA76455}"/>
    <cellStyle name="Normal 4 2 2 4 7 2 2" xfId="9353" xr:uid="{8FFCDBB9-9F39-4E15-80E9-D03F8D46FAF0}"/>
    <cellStyle name="Normal 4 2 2 4 7 3" xfId="7208" xr:uid="{E92A0229-DE66-413E-87B8-80EFF8B9F9E2}"/>
    <cellStyle name="Normal 4 2 2 4 8" xfId="3342" xr:uid="{402C5B67-A13A-41B7-9E26-F95535E94CD1}"/>
    <cellStyle name="Normal 4 2 2 4 8 2" xfId="7621" xr:uid="{A6521188-10B8-4D5D-8D19-0899265930F8}"/>
    <cellStyle name="Normal 4 2 2 4 9" xfId="5556" xr:uid="{A57BEA96-06E7-44EC-A372-66EAEC34531A}"/>
    <cellStyle name="Normal 4 2 2 5" xfId="354" xr:uid="{00000000-0005-0000-0000-000066020000}"/>
    <cellStyle name="Normal 4 2 2 5 2" xfId="355" xr:uid="{00000000-0005-0000-0000-000067020000}"/>
    <cellStyle name="Normal 4 2 2 5 2 2" xfId="837" xr:uid="{00000000-0005-0000-0000-000068020000}"/>
    <cellStyle name="Normal 4 2 2 5 2 2 2" xfId="3901" xr:uid="{028695F2-0333-4DE0-B8FE-EC8546E5308A}"/>
    <cellStyle name="Normal 4 2 2 5 2 2 2 2" xfId="8119" xr:uid="{06516691-9A06-402B-8600-AC772E8324B2}"/>
    <cellStyle name="Normal 4 2 2 5 2 2 3" xfId="5974" xr:uid="{5DA70370-346F-4C98-82AC-57874AEE4271}"/>
    <cellStyle name="Normal 4 2 2 5 2 2 4" xfId="1672" xr:uid="{B3F48C6E-92A7-43F3-AC68-68463C549663}"/>
    <cellStyle name="Normal 4 2 2 5 2 3" xfId="2085" xr:uid="{90F253BA-28CB-44A1-82CA-D1D1CA619BED}"/>
    <cellStyle name="Normal 4 2 2 5 2 3 2" xfId="4314" xr:uid="{CA394C2F-2CBB-4481-8202-CB08B4878EC8}"/>
    <cellStyle name="Normal 4 2 2 5 2 3 2 2" xfId="8532" xr:uid="{271C0E67-B3F0-4B86-A8C2-065DB92A56B9}"/>
    <cellStyle name="Normal 4 2 2 5 2 3 3" xfId="6387" xr:uid="{D357C61B-14F4-4DA6-A81C-DDCE6A77C5C1}"/>
    <cellStyle name="Normal 4 2 2 5 2 4" xfId="2498" xr:uid="{E4B0E1C5-161A-45CA-AEA1-C9714E2352D5}"/>
    <cellStyle name="Normal 4 2 2 5 2 4 2" xfId="4727" xr:uid="{3C0817C8-AD15-4046-B3F3-0CB677FB79FC}"/>
    <cellStyle name="Normal 4 2 2 5 2 4 2 2" xfId="8945" xr:uid="{7BB94DDB-A3AF-4152-8D9B-AE44DD5F8B8B}"/>
    <cellStyle name="Normal 4 2 2 5 2 4 3" xfId="6800" xr:uid="{639C0C32-C88C-48BA-A170-EB166FDC1ABA}"/>
    <cellStyle name="Normal 4 2 2 5 2 5" xfId="2911" xr:uid="{25A0C6CC-B17C-4FAF-99F2-9913E58F61EF}"/>
    <cellStyle name="Normal 4 2 2 5 2 5 2" xfId="5140" xr:uid="{C0F13F5A-AB6C-418F-AC79-CE9FEA120B3D}"/>
    <cellStyle name="Normal 4 2 2 5 2 5 2 2" xfId="9358" xr:uid="{960DCDE4-1A46-44EB-A0EF-47B3CE430F67}"/>
    <cellStyle name="Normal 4 2 2 5 2 5 3" xfId="7213" xr:uid="{D1FA144D-1154-4F58-893B-58FA025CA93A}"/>
    <cellStyle name="Normal 4 2 2 5 2 6" xfId="3347" xr:uid="{38EFC05B-341F-49A5-8825-FD9BCA439981}"/>
    <cellStyle name="Normal 4 2 2 5 2 6 2" xfId="7626" xr:uid="{001D11FD-425B-4D56-8D79-F64B6F80B70F}"/>
    <cellStyle name="Normal 4 2 2 5 2 7" xfId="5561" xr:uid="{0F71864D-7F85-4CE5-83DD-B0E7F7BDE87D}"/>
    <cellStyle name="Normal 4 2 2 5 2 8" xfId="1257" xr:uid="{5E245612-1DC9-408C-A961-40F25551AE1B}"/>
    <cellStyle name="Normal 4 2 2 5 3" xfId="836" xr:uid="{00000000-0005-0000-0000-000069020000}"/>
    <cellStyle name="Normal 4 2 2 5 3 2" xfId="3900" xr:uid="{FCCFA36B-978C-49A5-A0D5-CC9E197EF4EF}"/>
    <cellStyle name="Normal 4 2 2 5 3 2 2" xfId="8118" xr:uid="{0CBE0F68-9C9D-444D-B546-5479E71E02F7}"/>
    <cellStyle name="Normal 4 2 2 5 3 3" xfId="5973" xr:uid="{E9A97A66-53F0-4A67-8D4B-7B1B41218DD3}"/>
    <cellStyle name="Normal 4 2 2 5 3 4" xfId="1671" xr:uid="{60646AB8-FF9A-4040-955C-87E578B693A6}"/>
    <cellStyle name="Normal 4 2 2 5 4" xfId="2084" xr:uid="{51A44CF4-922B-4CE0-944D-B55BB46ADC25}"/>
    <cellStyle name="Normal 4 2 2 5 4 2" xfId="4313" xr:uid="{F1458E5A-B923-481A-A0BA-99491A19D29B}"/>
    <cellStyle name="Normal 4 2 2 5 4 2 2" xfId="8531" xr:uid="{F3DAA073-EDAD-45DA-B599-1231A7C4DCC9}"/>
    <cellStyle name="Normal 4 2 2 5 4 3" xfId="6386" xr:uid="{166D3D2C-55A5-4B66-BC3F-F30535E0D9B1}"/>
    <cellStyle name="Normal 4 2 2 5 5" xfId="2497" xr:uid="{5EFD3D68-EE24-48FD-83BA-F028E14A20DE}"/>
    <cellStyle name="Normal 4 2 2 5 5 2" xfId="4726" xr:uid="{863DF631-8291-477F-944D-0F5313A32F36}"/>
    <cellStyle name="Normal 4 2 2 5 5 2 2" xfId="8944" xr:uid="{2ADAD153-92BA-4302-8EA9-1550805AEFB8}"/>
    <cellStyle name="Normal 4 2 2 5 5 3" xfId="6799" xr:uid="{57D35B41-095D-48D2-8093-678D1CF3DBDE}"/>
    <cellStyle name="Normal 4 2 2 5 6" xfId="2910" xr:uid="{94D64A31-5A06-4DB2-A4EE-B910EA95A5D0}"/>
    <cellStyle name="Normal 4 2 2 5 6 2" xfId="5139" xr:uid="{C789B7B5-420F-41A2-95AB-4FA114B80DC6}"/>
    <cellStyle name="Normal 4 2 2 5 6 2 2" xfId="9357" xr:uid="{A4DDD105-435C-4E82-8F5E-3D323E156F8A}"/>
    <cellStyle name="Normal 4 2 2 5 6 3" xfId="7212" xr:uid="{C652B874-8075-4232-9EB5-B86E686853EF}"/>
    <cellStyle name="Normal 4 2 2 5 7" xfId="3346" xr:uid="{0413E900-5F52-4DF7-9A98-35AD03CB5995}"/>
    <cellStyle name="Normal 4 2 2 5 7 2" xfId="7625" xr:uid="{65BFE9E7-53FA-4A0C-BED6-22F1E7972D81}"/>
    <cellStyle name="Normal 4 2 2 5 8" xfId="5560" xr:uid="{2CF0BAF9-DB76-4EA4-A8EA-B54809C0EBF4}"/>
    <cellStyle name="Normal 4 2 2 5 9" xfId="1256" xr:uid="{C0C4AE68-C130-4600-835A-2AA0F79A2EBE}"/>
    <cellStyle name="Normal 4 2 2 6" xfId="356" xr:uid="{00000000-0005-0000-0000-00006A020000}"/>
    <cellStyle name="Normal 4 2 2 6 2" xfId="838" xr:uid="{00000000-0005-0000-0000-00006B020000}"/>
    <cellStyle name="Normal 4 2 2 6 2 2" xfId="3902" xr:uid="{7E445BAF-F737-4C33-B85A-27E478989561}"/>
    <cellStyle name="Normal 4 2 2 6 2 2 2" xfId="8120" xr:uid="{46E5F79E-8B76-42F8-B32F-EA2A761B1924}"/>
    <cellStyle name="Normal 4 2 2 6 2 3" xfId="5975" xr:uid="{A3087F1C-1632-48B2-BC46-9FDC1BD91744}"/>
    <cellStyle name="Normal 4 2 2 6 2 4" xfId="1673" xr:uid="{D8A72427-27F0-4108-B23B-9258A43293F2}"/>
    <cellStyle name="Normal 4 2 2 6 3" xfId="2086" xr:uid="{8E85A381-614E-480D-AA1F-6C357060491F}"/>
    <cellStyle name="Normal 4 2 2 6 3 2" xfId="4315" xr:uid="{0601FCC4-335E-4DB2-BDFA-4364D6A15ED5}"/>
    <cellStyle name="Normal 4 2 2 6 3 2 2" xfId="8533" xr:uid="{F13F0579-7060-4689-8760-0C900B243ADB}"/>
    <cellStyle name="Normal 4 2 2 6 3 3" xfId="6388" xr:uid="{B023B7F1-87B8-4D85-9C42-DC3190457032}"/>
    <cellStyle name="Normal 4 2 2 6 4" xfId="2499" xr:uid="{6250156A-455A-46FD-9969-B013B7C887B0}"/>
    <cellStyle name="Normal 4 2 2 6 4 2" xfId="4728" xr:uid="{FDD8FCC4-0A5B-4E22-BD2F-EA11C3732C58}"/>
    <cellStyle name="Normal 4 2 2 6 4 2 2" xfId="8946" xr:uid="{AB489459-073B-477C-B1A4-A9864C52EE70}"/>
    <cellStyle name="Normal 4 2 2 6 4 3" xfId="6801" xr:uid="{5FCEE349-534C-4D35-8313-3E40FE512EE5}"/>
    <cellStyle name="Normal 4 2 2 6 5" xfId="2912" xr:uid="{BA6856F2-B450-4AF9-B823-9E0949563564}"/>
    <cellStyle name="Normal 4 2 2 6 5 2" xfId="5141" xr:uid="{ED711674-4065-4776-9F13-E4C24796643D}"/>
    <cellStyle name="Normal 4 2 2 6 5 2 2" xfId="9359" xr:uid="{0533D331-D2CA-40D5-9615-E1C2EBA172BD}"/>
    <cellStyle name="Normal 4 2 2 6 5 3" xfId="7214" xr:uid="{A4F048A8-FF51-424E-AD98-71D310D774F6}"/>
    <cellStyle name="Normal 4 2 2 6 6" xfId="3348" xr:uid="{35CE7B29-014B-40CE-B001-6F26AD16E8E5}"/>
    <cellStyle name="Normal 4 2 2 6 6 2" xfId="7627" xr:uid="{D0E35063-FBE7-4B46-B070-5E4D63E1B07D}"/>
    <cellStyle name="Normal 4 2 2 6 7" xfId="5562" xr:uid="{4D607211-16B9-4F27-97E9-B70DFAE45983}"/>
    <cellStyle name="Normal 4 2 2 6 8" xfId="1258" xr:uid="{97B4D2B3-5CD4-4B1E-A180-DE1548E100FA}"/>
    <cellStyle name="Normal 4 2 2 7" xfId="823" xr:uid="{00000000-0005-0000-0000-00006C020000}"/>
    <cellStyle name="Normal 4 2 2 7 2" xfId="3887" xr:uid="{A6E308D4-3D84-4075-A3D8-D18E70FE0C7B}"/>
    <cellStyle name="Normal 4 2 2 7 2 2" xfId="8105" xr:uid="{AD6AD26C-4458-4F06-B078-E0582E308F98}"/>
    <cellStyle name="Normal 4 2 2 7 3" xfId="5960" xr:uid="{7F78446B-BC2B-40DD-BF18-FE82E1E0D5EA}"/>
    <cellStyle name="Normal 4 2 2 7 4" xfId="1658" xr:uid="{B71BD323-2D07-4555-BC04-DAEE8BD6CF26}"/>
    <cellStyle name="Normal 4 2 2 8" xfId="2071" xr:uid="{2BE1BF2C-6CE1-4D12-9DD3-A933DB94A00C}"/>
    <cellStyle name="Normal 4 2 2 8 2" xfId="4300" xr:uid="{DFCD6F70-4766-4273-8337-4E86C2B6EE35}"/>
    <cellStyle name="Normal 4 2 2 8 2 2" xfId="8518" xr:uid="{38D977D1-8003-4346-A8CF-789F791FE898}"/>
    <cellStyle name="Normal 4 2 2 8 3" xfId="6373" xr:uid="{70A13E13-E4A2-41AB-8B53-480CC8EB9D6A}"/>
    <cellStyle name="Normal 4 2 2 9" xfId="2484" xr:uid="{5D7D27E5-842C-49C0-9B8E-D01C1756C5F9}"/>
    <cellStyle name="Normal 4 2 2 9 2" xfId="4713" xr:uid="{EDE2414D-06E3-4606-8F3B-C5FC64269926}"/>
    <cellStyle name="Normal 4 2 2 9 2 2" xfId="8931" xr:uid="{9AB0B847-2D14-4082-A05D-7D4753D5E231}"/>
    <cellStyle name="Normal 4 2 2 9 3" xfId="6786" xr:uid="{8DB02787-1755-4EA0-8FE5-37279F62B5CE}"/>
    <cellStyle name="Normal 4 2 3" xfId="357" xr:uid="{00000000-0005-0000-0000-00006D020000}"/>
    <cellStyle name="Normal 4 2 4" xfId="358" xr:uid="{00000000-0005-0000-0000-00006E020000}"/>
    <cellStyle name="Normal 4 2 4 10" xfId="5563" xr:uid="{E41B0F4A-7902-4309-98D6-95A9DD8FBC8D}"/>
    <cellStyle name="Normal 4 2 4 11" xfId="1259" xr:uid="{77F1C4A1-7BCF-491D-B5BD-5AD2AE332772}"/>
    <cellStyle name="Normal 4 2 4 2" xfId="359" xr:uid="{00000000-0005-0000-0000-00006F020000}"/>
    <cellStyle name="Normal 4 2 4 2 10" xfId="1260" xr:uid="{A3693FA3-D71F-4F0A-A12A-19440F78B814}"/>
    <cellStyle name="Normal 4 2 4 2 2" xfId="360" xr:uid="{00000000-0005-0000-0000-000070020000}"/>
    <cellStyle name="Normal 4 2 4 2 2 2" xfId="361" xr:uid="{00000000-0005-0000-0000-000071020000}"/>
    <cellStyle name="Normal 4 2 4 2 2 2 2" xfId="842" xr:uid="{00000000-0005-0000-0000-000072020000}"/>
    <cellStyle name="Normal 4 2 4 2 2 2 2 2" xfId="3906" xr:uid="{579B612C-77B6-4709-ACBD-6BF801E5A575}"/>
    <cellStyle name="Normal 4 2 4 2 2 2 2 2 2" xfId="8124" xr:uid="{5581CEF0-187D-48E6-9EBE-92B37C13BBD9}"/>
    <cellStyle name="Normal 4 2 4 2 2 2 2 3" xfId="5979" xr:uid="{9E6DAEAC-DB51-4376-AE42-6AEE93BBB866}"/>
    <cellStyle name="Normal 4 2 4 2 2 2 2 4" xfId="1677" xr:uid="{DAC769B1-31F2-49A1-8F24-8E44561DA4CB}"/>
    <cellStyle name="Normal 4 2 4 2 2 2 3" xfId="2090" xr:uid="{6BD8A98F-493F-497A-BA95-3CAAF13B2E2B}"/>
    <cellStyle name="Normal 4 2 4 2 2 2 3 2" xfId="4319" xr:uid="{B31CFBF6-8B98-4D97-862F-BCF784B5280B}"/>
    <cellStyle name="Normal 4 2 4 2 2 2 3 2 2" xfId="8537" xr:uid="{8E0C383F-70D7-4951-AA67-3CF4756ACDDA}"/>
    <cellStyle name="Normal 4 2 4 2 2 2 3 3" xfId="6392" xr:uid="{1A4F8A81-CAA4-47C1-A52E-88C775DFF90D}"/>
    <cellStyle name="Normal 4 2 4 2 2 2 4" xfId="2503" xr:uid="{445606CC-597C-4640-A744-B75A49736801}"/>
    <cellStyle name="Normal 4 2 4 2 2 2 4 2" xfId="4732" xr:uid="{AD6968C3-996A-4C61-96DB-FD89A48FF8B6}"/>
    <cellStyle name="Normal 4 2 4 2 2 2 4 2 2" xfId="8950" xr:uid="{FE35F766-04DF-4D50-B1A7-9AAF65188E6B}"/>
    <cellStyle name="Normal 4 2 4 2 2 2 4 3" xfId="6805" xr:uid="{D64DAEEF-9A40-472C-B5AF-0282BA526B4D}"/>
    <cellStyle name="Normal 4 2 4 2 2 2 5" xfId="2916" xr:uid="{B5AEC6BF-F06A-498A-AF85-FBB1C70C86D8}"/>
    <cellStyle name="Normal 4 2 4 2 2 2 5 2" xfId="5145" xr:uid="{BDD86733-FF4C-4DEB-90D7-6D15604713DA}"/>
    <cellStyle name="Normal 4 2 4 2 2 2 5 2 2" xfId="9363" xr:uid="{A3F9A1A1-1571-4DCB-930A-784ED5E84DEF}"/>
    <cellStyle name="Normal 4 2 4 2 2 2 5 3" xfId="7218" xr:uid="{54059AD9-4E86-4C87-AAF0-D32603B49900}"/>
    <cellStyle name="Normal 4 2 4 2 2 2 6" xfId="3352" xr:uid="{82D978BB-D08D-4BB2-8BA5-0B85F65D4184}"/>
    <cellStyle name="Normal 4 2 4 2 2 2 6 2" xfId="7631" xr:uid="{5963C130-BE3F-4040-9492-810BB0DEA7CB}"/>
    <cellStyle name="Normal 4 2 4 2 2 2 7" xfId="5566" xr:uid="{D5045218-C44C-4C26-89BE-32CB764F9B9B}"/>
    <cellStyle name="Normal 4 2 4 2 2 2 8" xfId="1262" xr:uid="{7FD65756-7D83-482B-9D17-8CFDB74551BF}"/>
    <cellStyle name="Normal 4 2 4 2 2 3" xfId="841" xr:uid="{00000000-0005-0000-0000-000073020000}"/>
    <cellStyle name="Normal 4 2 4 2 2 3 2" xfId="3905" xr:uid="{4A0C0AEC-9AD1-4575-9DE9-BA24F7EF2A40}"/>
    <cellStyle name="Normal 4 2 4 2 2 3 2 2" xfId="8123" xr:uid="{AEBD6493-6CFC-4B38-8928-606C878B4739}"/>
    <cellStyle name="Normal 4 2 4 2 2 3 3" xfId="5978" xr:uid="{FFB471F7-B348-44EA-BAC6-2ACA646B0F5E}"/>
    <cellStyle name="Normal 4 2 4 2 2 3 4" xfId="1676" xr:uid="{DC7594F5-8E91-4985-A798-8765B88BADFE}"/>
    <cellStyle name="Normal 4 2 4 2 2 4" xfId="2089" xr:uid="{39DC9083-4007-458D-A436-28FC2597F38A}"/>
    <cellStyle name="Normal 4 2 4 2 2 4 2" xfId="4318" xr:uid="{05A30524-9457-4C72-88A4-A85BA9F9B9B4}"/>
    <cellStyle name="Normal 4 2 4 2 2 4 2 2" xfId="8536" xr:uid="{C648D56C-06FC-426E-863C-386A29D46423}"/>
    <cellStyle name="Normal 4 2 4 2 2 4 3" xfId="6391" xr:uid="{6531EE94-1C92-4ABE-96AD-11E5848E2D0A}"/>
    <cellStyle name="Normal 4 2 4 2 2 5" xfId="2502" xr:uid="{2D1AE241-37FC-4A81-9FB9-955E69094E6D}"/>
    <cellStyle name="Normal 4 2 4 2 2 5 2" xfId="4731" xr:uid="{6386DEFA-5481-480B-B6B7-79DCA69A601B}"/>
    <cellStyle name="Normal 4 2 4 2 2 5 2 2" xfId="8949" xr:uid="{2392A3AA-0D4D-4F1C-B21E-97F63662C4ED}"/>
    <cellStyle name="Normal 4 2 4 2 2 5 3" xfId="6804" xr:uid="{53148182-F196-4F29-804A-BD764EB57209}"/>
    <cellStyle name="Normal 4 2 4 2 2 6" xfId="2915" xr:uid="{39ED01A3-BA67-4EB1-809F-DF75AC3B2425}"/>
    <cellStyle name="Normal 4 2 4 2 2 6 2" xfId="5144" xr:uid="{953BDD49-7E1B-4F74-B9D7-BB474730BFE7}"/>
    <cellStyle name="Normal 4 2 4 2 2 6 2 2" xfId="9362" xr:uid="{C0D55FDB-24E8-4619-B837-2AD3EF821E79}"/>
    <cellStyle name="Normal 4 2 4 2 2 6 3" xfId="7217" xr:uid="{EC0CB61D-B5B5-4D15-A6FB-33DB01994652}"/>
    <cellStyle name="Normal 4 2 4 2 2 7" xfId="3351" xr:uid="{44330310-D4DC-4CEF-8F86-7E5DE75BCB4D}"/>
    <cellStyle name="Normal 4 2 4 2 2 7 2" xfId="7630" xr:uid="{43F433FE-488E-4C6A-B941-09E664E2485E}"/>
    <cellStyle name="Normal 4 2 4 2 2 8" xfId="5565" xr:uid="{75AEBC43-7F69-4D8B-92B0-C55B09E35401}"/>
    <cellStyle name="Normal 4 2 4 2 2 9" xfId="1261" xr:uid="{845DEED4-A746-4722-A2CF-7F45C2683F92}"/>
    <cellStyle name="Normal 4 2 4 2 3" xfId="362" xr:uid="{00000000-0005-0000-0000-000074020000}"/>
    <cellStyle name="Normal 4 2 4 2 3 2" xfId="843" xr:uid="{00000000-0005-0000-0000-000075020000}"/>
    <cellStyle name="Normal 4 2 4 2 3 2 2" xfId="3907" xr:uid="{18EE7835-7A78-40BB-9DBA-42CD6AF660A7}"/>
    <cellStyle name="Normal 4 2 4 2 3 2 2 2" xfId="8125" xr:uid="{ADC251F3-A1EA-4AB0-9CEA-678214C72983}"/>
    <cellStyle name="Normal 4 2 4 2 3 2 3" xfId="5980" xr:uid="{3AE9604B-50A9-43DF-BCE9-E9CD40046D59}"/>
    <cellStyle name="Normal 4 2 4 2 3 2 4" xfId="1678" xr:uid="{164CCA33-07CD-4D0C-932B-A6358355DD41}"/>
    <cellStyle name="Normal 4 2 4 2 3 3" xfId="2091" xr:uid="{FE9C3623-4AE4-4747-ABB0-2320CE0972D0}"/>
    <cellStyle name="Normal 4 2 4 2 3 3 2" xfId="4320" xr:uid="{116CA10F-5B44-4CFB-8964-6E2717A885E0}"/>
    <cellStyle name="Normal 4 2 4 2 3 3 2 2" xfId="8538" xr:uid="{34E15B47-9C14-41FE-A43D-EB76DCED9544}"/>
    <cellStyle name="Normal 4 2 4 2 3 3 3" xfId="6393" xr:uid="{C5987195-D1CE-4211-98AA-5C914A6735E8}"/>
    <cellStyle name="Normal 4 2 4 2 3 4" xfId="2504" xr:uid="{35889B1F-51D1-4761-813B-5F0E1CD5765F}"/>
    <cellStyle name="Normal 4 2 4 2 3 4 2" xfId="4733" xr:uid="{C648318F-0A47-440B-A6E1-49B6DD8D2AB7}"/>
    <cellStyle name="Normal 4 2 4 2 3 4 2 2" xfId="8951" xr:uid="{A0D70113-F1DE-470A-9D7C-44C406D5C3E8}"/>
    <cellStyle name="Normal 4 2 4 2 3 4 3" xfId="6806" xr:uid="{BDA0D847-42DE-4170-96A8-AD92DDF33444}"/>
    <cellStyle name="Normal 4 2 4 2 3 5" xfId="2917" xr:uid="{E2B0C5FD-749E-496C-A177-5500A5A38A7B}"/>
    <cellStyle name="Normal 4 2 4 2 3 5 2" xfId="5146" xr:uid="{4EEB1AB5-8478-4C0C-8126-4A36DEE5F99F}"/>
    <cellStyle name="Normal 4 2 4 2 3 5 2 2" xfId="9364" xr:uid="{2D287D5C-6962-42AA-9F00-F004F7ADD0EE}"/>
    <cellStyle name="Normal 4 2 4 2 3 5 3" xfId="7219" xr:uid="{0ACEFDA0-7C9F-41F9-B6E9-69EDE1BB2FE9}"/>
    <cellStyle name="Normal 4 2 4 2 3 6" xfId="3353" xr:uid="{75EB923B-087A-435F-B184-FF650F5E9375}"/>
    <cellStyle name="Normal 4 2 4 2 3 6 2" xfId="7632" xr:uid="{DAE31D0F-6377-4E7B-B591-7FA92B30401A}"/>
    <cellStyle name="Normal 4 2 4 2 3 7" xfId="5567" xr:uid="{35913C91-D0DF-4BE7-B85F-6A9B2B4052DF}"/>
    <cellStyle name="Normal 4 2 4 2 3 8" xfId="1263" xr:uid="{B092746D-CEF0-4032-BFA1-0B63CE7C851E}"/>
    <cellStyle name="Normal 4 2 4 2 4" xfId="840" xr:uid="{00000000-0005-0000-0000-000076020000}"/>
    <cellStyle name="Normal 4 2 4 2 4 2" xfId="3904" xr:uid="{799E7A96-2B3C-4BFC-BBCD-B8D65C52B4C4}"/>
    <cellStyle name="Normal 4 2 4 2 4 2 2" xfId="8122" xr:uid="{8285D1CC-1672-4E15-A924-D4FD66A4BBBC}"/>
    <cellStyle name="Normal 4 2 4 2 4 3" xfId="5977" xr:uid="{5985CFCC-0E20-44EF-BC58-FE78B2ED720F}"/>
    <cellStyle name="Normal 4 2 4 2 4 4" xfId="1675" xr:uid="{307C6EB0-8F80-4A05-A019-EC2DDB091D4A}"/>
    <cellStyle name="Normal 4 2 4 2 5" xfId="2088" xr:uid="{C64396D2-36AA-480A-A1F4-E8DAED87CDE3}"/>
    <cellStyle name="Normal 4 2 4 2 5 2" xfId="4317" xr:uid="{E4FC21A7-B5B5-4E60-94C5-9E612A3FD247}"/>
    <cellStyle name="Normal 4 2 4 2 5 2 2" xfId="8535" xr:uid="{6EC4BF7C-65B3-4633-8731-5D7ABC65FC97}"/>
    <cellStyle name="Normal 4 2 4 2 5 3" xfId="6390" xr:uid="{B51CE0FE-A4DB-4315-8BD7-9A0A7214F070}"/>
    <cellStyle name="Normal 4 2 4 2 6" xfId="2501" xr:uid="{8F75B49F-4E6C-4C26-8F80-07924FFC3FD4}"/>
    <cellStyle name="Normal 4 2 4 2 6 2" xfId="4730" xr:uid="{69CD0AFB-C8DB-4470-9CBE-E14A04EF4C5B}"/>
    <cellStyle name="Normal 4 2 4 2 6 2 2" xfId="8948" xr:uid="{5B55D9F5-2A7B-4C72-A930-410076A4BA18}"/>
    <cellStyle name="Normal 4 2 4 2 6 3" xfId="6803" xr:uid="{0E40C21D-0364-423D-8C01-33B18C710C6E}"/>
    <cellStyle name="Normal 4 2 4 2 7" xfId="2914" xr:uid="{D548C18F-2FB1-47C6-9B11-009178ED9C61}"/>
    <cellStyle name="Normal 4 2 4 2 7 2" xfId="5143" xr:uid="{3BB2B10B-D6DD-4281-B790-06A83034D123}"/>
    <cellStyle name="Normal 4 2 4 2 7 2 2" xfId="9361" xr:uid="{78C2F7E1-9770-4B30-ACF1-DE02C93E918A}"/>
    <cellStyle name="Normal 4 2 4 2 7 3" xfId="7216" xr:uid="{E4695559-EED9-4D5F-98AF-4F52021EB6DA}"/>
    <cellStyle name="Normal 4 2 4 2 8" xfId="3350" xr:uid="{940719FE-AADD-4A9D-A3FE-531B4FC3645E}"/>
    <cellStyle name="Normal 4 2 4 2 8 2" xfId="7629" xr:uid="{15E09AEE-8AE4-4438-82BB-AEB4092E99A8}"/>
    <cellStyle name="Normal 4 2 4 2 9" xfId="5564" xr:uid="{3D188B6F-9EA0-4B40-AF42-FC94FECB45D8}"/>
    <cellStyle name="Normal 4 2 4 3" xfId="363" xr:uid="{00000000-0005-0000-0000-000077020000}"/>
    <cellStyle name="Normal 4 2 4 3 2" xfId="364" xr:uid="{00000000-0005-0000-0000-000078020000}"/>
    <cellStyle name="Normal 4 2 4 3 2 2" xfId="845" xr:uid="{00000000-0005-0000-0000-000079020000}"/>
    <cellStyle name="Normal 4 2 4 3 2 2 2" xfId="3909" xr:uid="{F3155C6E-272F-40DF-9F2A-F3A9A3A2040B}"/>
    <cellStyle name="Normal 4 2 4 3 2 2 2 2" xfId="8127" xr:uid="{8B84147D-0350-4FD0-B59D-E09FDBE6AD35}"/>
    <cellStyle name="Normal 4 2 4 3 2 2 3" xfId="5982" xr:uid="{9EBA08AB-1F3F-4A49-8B48-1DC51709B198}"/>
    <cellStyle name="Normal 4 2 4 3 2 2 4" xfId="1680" xr:uid="{AD67B9D0-C827-4FA9-85F8-6C796D410A45}"/>
    <cellStyle name="Normal 4 2 4 3 2 3" xfId="2093" xr:uid="{24F09564-42B5-48F3-A861-EA64C2D695C4}"/>
    <cellStyle name="Normal 4 2 4 3 2 3 2" xfId="4322" xr:uid="{796438D6-62A6-49E7-8896-88D71F663E76}"/>
    <cellStyle name="Normal 4 2 4 3 2 3 2 2" xfId="8540" xr:uid="{7D69CF0E-3AA1-4B77-B809-53D697257DFC}"/>
    <cellStyle name="Normal 4 2 4 3 2 3 3" xfId="6395" xr:uid="{136DCE31-0AFA-45E6-90C8-4499FD4A59F2}"/>
    <cellStyle name="Normal 4 2 4 3 2 4" xfId="2506" xr:uid="{3833A309-ADB3-478F-AEEE-4AF5560E8171}"/>
    <cellStyle name="Normal 4 2 4 3 2 4 2" xfId="4735" xr:uid="{D338A854-A0BD-4C6E-99DB-9EBD56C9AAE0}"/>
    <cellStyle name="Normal 4 2 4 3 2 4 2 2" xfId="8953" xr:uid="{E9987FEE-71AA-439B-A1A3-7C5D603312EF}"/>
    <cellStyle name="Normal 4 2 4 3 2 4 3" xfId="6808" xr:uid="{E773B4A9-0D05-4BA2-AEC1-24F2606BA556}"/>
    <cellStyle name="Normal 4 2 4 3 2 5" xfId="2919" xr:uid="{2D8E4F1B-0548-4D2E-804E-0EAD1074E931}"/>
    <cellStyle name="Normal 4 2 4 3 2 5 2" xfId="5148" xr:uid="{A0D67D87-A2C2-4981-9681-505D24D12F46}"/>
    <cellStyle name="Normal 4 2 4 3 2 5 2 2" xfId="9366" xr:uid="{0522FA87-0EBB-4DF1-AF90-37CC908030C1}"/>
    <cellStyle name="Normal 4 2 4 3 2 5 3" xfId="7221" xr:uid="{7E7C158D-95C3-4491-BB1C-7A4E63364EB3}"/>
    <cellStyle name="Normal 4 2 4 3 2 6" xfId="3355" xr:uid="{C200CF30-426A-4F61-B902-E9B9DA6DA505}"/>
    <cellStyle name="Normal 4 2 4 3 2 6 2" xfId="7634" xr:uid="{8FA36EED-07AE-48B2-8020-88A0DF470D00}"/>
    <cellStyle name="Normal 4 2 4 3 2 7" xfId="5569" xr:uid="{6424F9C4-BFEB-44F9-9E23-CCC52AB8CA83}"/>
    <cellStyle name="Normal 4 2 4 3 2 8" xfId="1265" xr:uid="{E5D83F55-62FF-49CC-8640-B55A2B897CFB}"/>
    <cellStyle name="Normal 4 2 4 3 3" xfId="844" xr:uid="{00000000-0005-0000-0000-00007A020000}"/>
    <cellStyle name="Normal 4 2 4 3 3 2" xfId="3908" xr:uid="{54571C5A-DB67-4182-9318-9F200D6B8338}"/>
    <cellStyle name="Normal 4 2 4 3 3 2 2" xfId="8126" xr:uid="{9D8066EB-70C1-4129-AEE9-1FD42DE56172}"/>
    <cellStyle name="Normal 4 2 4 3 3 3" xfId="5981" xr:uid="{3DAA8714-A401-47D4-8345-29D91C294F3A}"/>
    <cellStyle name="Normal 4 2 4 3 3 4" xfId="1679" xr:uid="{27825978-6DCF-41A4-9815-F516A40E8DB3}"/>
    <cellStyle name="Normal 4 2 4 3 4" xfId="2092" xr:uid="{036D0C9D-F032-4CE3-83D0-8C1246DF1FE7}"/>
    <cellStyle name="Normal 4 2 4 3 4 2" xfId="4321" xr:uid="{F7D8A1D1-6AEF-4E18-A8A7-47A2708C79F3}"/>
    <cellStyle name="Normal 4 2 4 3 4 2 2" xfId="8539" xr:uid="{25CE7BD1-9A7C-44CF-9A96-9DE917D44353}"/>
    <cellStyle name="Normal 4 2 4 3 4 3" xfId="6394" xr:uid="{6ED55614-1DF5-4695-9330-97ADA5E0FABC}"/>
    <cellStyle name="Normal 4 2 4 3 5" xfId="2505" xr:uid="{3CA8726C-6A5A-407E-8D70-C510E19932BE}"/>
    <cellStyle name="Normal 4 2 4 3 5 2" xfId="4734" xr:uid="{DCF170DC-40FA-49BE-8D36-EBCAD46BF2DA}"/>
    <cellStyle name="Normal 4 2 4 3 5 2 2" xfId="8952" xr:uid="{794C143B-A843-440B-A5E1-6FDA656BB2FF}"/>
    <cellStyle name="Normal 4 2 4 3 5 3" xfId="6807" xr:uid="{88BEB6B7-16B5-4DDE-AF89-34340B529054}"/>
    <cellStyle name="Normal 4 2 4 3 6" xfId="2918" xr:uid="{1D76D58D-4502-40EE-A4B5-F9A1BAA17CB2}"/>
    <cellStyle name="Normal 4 2 4 3 6 2" xfId="5147" xr:uid="{99D8FD03-A66E-43B2-B37F-FDC0222AB1C9}"/>
    <cellStyle name="Normal 4 2 4 3 6 2 2" xfId="9365" xr:uid="{2981393C-9A15-411E-A9D6-160748992ADF}"/>
    <cellStyle name="Normal 4 2 4 3 6 3" xfId="7220" xr:uid="{6D2BF810-F4F7-487E-8380-78DE72C0C068}"/>
    <cellStyle name="Normal 4 2 4 3 7" xfId="3354" xr:uid="{43D9FC32-618F-48E6-8CA1-4CC631E50C80}"/>
    <cellStyle name="Normal 4 2 4 3 7 2" xfId="7633" xr:uid="{D80B900C-EC74-4318-967C-2F5899595C81}"/>
    <cellStyle name="Normal 4 2 4 3 8" xfId="5568" xr:uid="{CA22CA6F-AA93-4335-929A-F448BA3D622C}"/>
    <cellStyle name="Normal 4 2 4 3 9" xfId="1264" xr:uid="{B45C29B6-79C2-402F-9DB4-05C6BC855153}"/>
    <cellStyle name="Normal 4 2 4 4" xfId="365" xr:uid="{00000000-0005-0000-0000-00007B020000}"/>
    <cellStyle name="Normal 4 2 4 4 2" xfId="846" xr:uid="{00000000-0005-0000-0000-00007C020000}"/>
    <cellStyle name="Normal 4 2 4 4 2 2" xfId="3910" xr:uid="{379AA551-5CF3-4A24-8706-B0F5434EFE77}"/>
    <cellStyle name="Normal 4 2 4 4 2 2 2" xfId="8128" xr:uid="{315780AF-2BBE-4E72-AB99-D99BDBCD24B7}"/>
    <cellStyle name="Normal 4 2 4 4 2 3" xfId="5983" xr:uid="{B39CF402-E9D8-4AAA-9612-EF247FF729D5}"/>
    <cellStyle name="Normal 4 2 4 4 2 4" xfId="1681" xr:uid="{49DDC819-F8B2-4154-9C2B-144975B0FAF0}"/>
    <cellStyle name="Normal 4 2 4 4 3" xfId="2094" xr:uid="{5D0002B3-B725-4E84-82C8-2A2F0DD917F0}"/>
    <cellStyle name="Normal 4 2 4 4 3 2" xfId="4323" xr:uid="{E2E737EA-0793-4EC0-A110-F8D714ABF437}"/>
    <cellStyle name="Normal 4 2 4 4 3 2 2" xfId="8541" xr:uid="{DB090741-DE24-4D15-920C-2E4E27BAB7AA}"/>
    <cellStyle name="Normal 4 2 4 4 3 3" xfId="6396" xr:uid="{DA58F771-0C5A-49A3-9C22-1345592D2CB9}"/>
    <cellStyle name="Normal 4 2 4 4 4" xfId="2507" xr:uid="{7DADF09F-CBBA-48F0-8303-8A4AA7C3FF14}"/>
    <cellStyle name="Normal 4 2 4 4 4 2" xfId="4736" xr:uid="{5B4FD12D-8DD3-42DC-8232-6AECA82D530D}"/>
    <cellStyle name="Normal 4 2 4 4 4 2 2" xfId="8954" xr:uid="{9B617AC5-84CE-4DE4-8AF2-EED1232B2225}"/>
    <cellStyle name="Normal 4 2 4 4 4 3" xfId="6809" xr:uid="{F8EBA63E-00DE-4DD5-96CF-FC8FF32ECEB6}"/>
    <cellStyle name="Normal 4 2 4 4 5" xfId="2920" xr:uid="{98135968-9E73-4052-9EF2-066AA4AF1F49}"/>
    <cellStyle name="Normal 4 2 4 4 5 2" xfId="5149" xr:uid="{8662B158-74CF-4293-9059-83A6E28F4796}"/>
    <cellStyle name="Normal 4 2 4 4 5 2 2" xfId="9367" xr:uid="{3135972C-D08B-41E0-9955-F983FB5E9BFD}"/>
    <cellStyle name="Normal 4 2 4 4 5 3" xfId="7222" xr:uid="{6ED892F8-F687-4B51-AC2B-7C36E391C15B}"/>
    <cellStyle name="Normal 4 2 4 4 6" xfId="3356" xr:uid="{6CEF4371-9BEB-437B-996B-74A11BC47714}"/>
    <cellStyle name="Normal 4 2 4 4 6 2" xfId="7635" xr:uid="{EF085C1E-C758-4F51-8A59-C03D7EB3B304}"/>
    <cellStyle name="Normal 4 2 4 4 7" xfId="5570" xr:uid="{F032C19E-54B0-4397-A37F-F815910EBDC4}"/>
    <cellStyle name="Normal 4 2 4 4 8" xfId="1266" xr:uid="{41651B9F-D62A-4451-B4FD-720A01A6B010}"/>
    <cellStyle name="Normal 4 2 4 5" xfId="839" xr:uid="{00000000-0005-0000-0000-00007D020000}"/>
    <cellStyle name="Normal 4 2 4 5 2" xfId="3903" xr:uid="{C210FFEF-0C57-4475-8FA2-6E0ADCA0BF6F}"/>
    <cellStyle name="Normal 4 2 4 5 2 2" xfId="8121" xr:uid="{D9780993-A991-4368-8262-1D3A83A75D6D}"/>
    <cellStyle name="Normal 4 2 4 5 3" xfId="5976" xr:uid="{7068EEFB-CC3C-4957-9D69-A3AD00F161CA}"/>
    <cellStyle name="Normal 4 2 4 5 4" xfId="1674" xr:uid="{AB13CE4A-E46D-4795-8E72-02B9067278D4}"/>
    <cellStyle name="Normal 4 2 4 6" xfId="2087" xr:uid="{48EE16CE-2237-49C3-9263-817A07FC5800}"/>
    <cellStyle name="Normal 4 2 4 6 2" xfId="4316" xr:uid="{EA4E809F-3DB2-4A92-A831-D59F0E896EA8}"/>
    <cellStyle name="Normal 4 2 4 6 2 2" xfId="8534" xr:uid="{1CE73BBB-C990-4FA2-8622-83EDF23F9406}"/>
    <cellStyle name="Normal 4 2 4 6 3" xfId="6389" xr:uid="{38426118-D765-4E4E-97CA-E6564AEE1868}"/>
    <cellStyle name="Normal 4 2 4 7" xfId="2500" xr:uid="{0DD512F8-8E78-4FF4-A7C3-1425B5377491}"/>
    <cellStyle name="Normal 4 2 4 7 2" xfId="4729" xr:uid="{D9C3E926-53D6-448B-BCC2-78EAC0DBC8F0}"/>
    <cellStyle name="Normal 4 2 4 7 2 2" xfId="8947" xr:uid="{03AFA526-5F56-40C3-A085-EDAA91F38CD0}"/>
    <cellStyle name="Normal 4 2 4 7 3" xfId="6802" xr:uid="{ECBC8199-1389-4064-A1CC-5AE546BB0E7B}"/>
    <cellStyle name="Normal 4 2 4 8" xfId="2913" xr:uid="{5269AD05-4964-4E87-8DBA-5E00AFD51988}"/>
    <cellStyle name="Normal 4 2 4 8 2" xfId="5142" xr:uid="{FD09CF80-ECCD-45BB-87D9-42C9D8D636A8}"/>
    <cellStyle name="Normal 4 2 4 8 2 2" xfId="9360" xr:uid="{9949A2BD-E1A4-427C-BC7A-29B7351EBF99}"/>
    <cellStyle name="Normal 4 2 4 8 3" xfId="7215" xr:uid="{CA697548-D0D5-4345-8C72-E96C5DBB40F3}"/>
    <cellStyle name="Normal 4 2 4 9" xfId="3349" xr:uid="{D9E3E47E-21C0-4590-ADAC-C1D841FB7059}"/>
    <cellStyle name="Normal 4 2 4 9 2" xfId="7628" xr:uid="{16278FB2-D6FF-4AA6-92AF-E3001681C909}"/>
    <cellStyle name="Normal 4 2 5" xfId="366" xr:uid="{00000000-0005-0000-0000-00007E020000}"/>
    <cellStyle name="Normal 4 2 5 2" xfId="367" xr:uid="{00000000-0005-0000-0000-00007F020000}"/>
    <cellStyle name="Normal 4 2 5 2 2" xfId="848" xr:uid="{00000000-0005-0000-0000-000080020000}"/>
    <cellStyle name="Normal 4 2 5 2 2 2" xfId="3912" xr:uid="{76C29C0B-00DE-4446-865F-DD58A2BA08E3}"/>
    <cellStyle name="Normal 4 2 5 2 2 2 2" xfId="8130" xr:uid="{AFEE4433-B74A-4CC8-A726-14E55019464A}"/>
    <cellStyle name="Normal 4 2 5 2 2 3" xfId="5985" xr:uid="{EBFEEA01-8683-4DF2-99FC-A48537851C7A}"/>
    <cellStyle name="Normal 4 2 5 2 2 4" xfId="1683" xr:uid="{9B8AEA1A-007E-4CAC-8B61-EC7A485E9894}"/>
    <cellStyle name="Normal 4 2 5 2 3" xfId="2096" xr:uid="{01155F6C-BB96-4280-A044-5032C0058B5F}"/>
    <cellStyle name="Normal 4 2 5 2 3 2" xfId="4325" xr:uid="{13FD1A8B-7198-41E7-8A8C-10E854799CDE}"/>
    <cellStyle name="Normal 4 2 5 2 3 2 2" xfId="8543" xr:uid="{8A6B6D61-2FB7-4432-B1DA-B518D274CBAC}"/>
    <cellStyle name="Normal 4 2 5 2 3 3" xfId="6398" xr:uid="{94F3CB91-C82D-4BFA-9285-ACB613C3DCF6}"/>
    <cellStyle name="Normal 4 2 5 2 4" xfId="2509" xr:uid="{1ECEE0B7-AF26-4EA2-89B0-D6E995B79760}"/>
    <cellStyle name="Normal 4 2 5 2 4 2" xfId="4738" xr:uid="{AF16509C-F932-4199-AFBA-5E0EB32758AD}"/>
    <cellStyle name="Normal 4 2 5 2 4 2 2" xfId="8956" xr:uid="{EE80F787-F060-4B56-A967-B72964A3C27C}"/>
    <cellStyle name="Normal 4 2 5 2 4 3" xfId="6811" xr:uid="{EB3841D2-C89D-4DD9-A205-85E3E39816E3}"/>
    <cellStyle name="Normal 4 2 5 2 5" xfId="2922" xr:uid="{7F768B5E-5356-436A-8441-A56F9A87DA4D}"/>
    <cellStyle name="Normal 4 2 5 2 5 2" xfId="5151" xr:uid="{9F04669E-95C5-4C48-B2B3-6A714D8F80A8}"/>
    <cellStyle name="Normal 4 2 5 2 5 2 2" xfId="9369" xr:uid="{3F14E2BC-F309-4D60-B36A-0602558D841A}"/>
    <cellStyle name="Normal 4 2 5 2 5 3" xfId="7224" xr:uid="{14FB5C63-D4BD-46E0-8AC2-49750FEA15DE}"/>
    <cellStyle name="Normal 4 2 5 2 6" xfId="3358" xr:uid="{D077238E-526A-402F-92F9-86C930DE6FD3}"/>
    <cellStyle name="Normal 4 2 5 2 6 2" xfId="7637" xr:uid="{23FE74D7-122A-46C5-8081-AF863F5E85B1}"/>
    <cellStyle name="Normal 4 2 5 2 7" xfId="5572" xr:uid="{AA27237D-E89F-431F-A080-28A325CE9CC2}"/>
    <cellStyle name="Normal 4 2 5 2 8" xfId="1268" xr:uid="{C4C8300B-C2CE-41DD-A277-39B1E0C327C3}"/>
    <cellStyle name="Normal 4 2 5 3" xfId="847" xr:uid="{00000000-0005-0000-0000-000081020000}"/>
    <cellStyle name="Normal 4 2 5 3 2" xfId="3911" xr:uid="{02C562D1-8C41-434F-8F7D-CE7EC4D1A0C9}"/>
    <cellStyle name="Normal 4 2 5 3 2 2" xfId="8129" xr:uid="{F859A250-05DF-43B9-A57E-6F4689E8B769}"/>
    <cellStyle name="Normal 4 2 5 3 3" xfId="5984" xr:uid="{2C2E0278-73B4-4657-B04A-76F515D5953D}"/>
    <cellStyle name="Normal 4 2 5 3 4" xfId="1682" xr:uid="{9677A82A-8FCB-44A2-87C6-D781F2E4FDAD}"/>
    <cellStyle name="Normal 4 2 5 4" xfId="2095" xr:uid="{9EF7D3EC-B64F-43CB-9010-B042BBB03A4F}"/>
    <cellStyle name="Normal 4 2 5 4 2" xfId="4324" xr:uid="{61FC7786-3E4D-45BF-89F0-352013EAA128}"/>
    <cellStyle name="Normal 4 2 5 4 2 2" xfId="8542" xr:uid="{2F03BC25-6FDF-4C81-BB3E-B655F332E1E0}"/>
    <cellStyle name="Normal 4 2 5 4 3" xfId="6397" xr:uid="{35E4C1AB-C4B5-492C-89E9-A3EE0B1CB6C2}"/>
    <cellStyle name="Normal 4 2 5 5" xfId="2508" xr:uid="{A8C88CEB-141D-4041-9355-87F112E59861}"/>
    <cellStyle name="Normal 4 2 5 5 2" xfId="4737" xr:uid="{CAC40936-07A3-4DC6-9A15-1DCAFC06F353}"/>
    <cellStyle name="Normal 4 2 5 5 2 2" xfId="8955" xr:uid="{419ED3E2-576E-4F32-8E22-F42DF57FAAFC}"/>
    <cellStyle name="Normal 4 2 5 5 3" xfId="6810" xr:uid="{59BDED95-A669-4B33-9C34-7C9AE64CC24A}"/>
    <cellStyle name="Normal 4 2 5 6" xfId="2921" xr:uid="{7F91A483-056A-4336-B93E-8B93C0C16175}"/>
    <cellStyle name="Normal 4 2 5 6 2" xfId="5150" xr:uid="{1F06F1A6-77E0-42C6-8BD6-25D097EAFAC4}"/>
    <cellStyle name="Normal 4 2 5 6 2 2" xfId="9368" xr:uid="{E06F1F85-D005-43FF-A740-00160924964C}"/>
    <cellStyle name="Normal 4 2 5 6 3" xfId="7223" xr:uid="{D95C9B34-B6FE-4DB0-882B-BB2FF80C6386}"/>
    <cellStyle name="Normal 4 2 5 7" xfId="3357" xr:uid="{B88CEC31-37A8-472C-81FD-FA083D428D28}"/>
    <cellStyle name="Normal 4 2 5 7 2" xfId="7636" xr:uid="{7B6DD0AD-27CC-4829-8AAB-38F2F6BDDBF9}"/>
    <cellStyle name="Normal 4 2 5 8" xfId="5571" xr:uid="{62640C48-8321-4D3E-9478-7C0BE46AECF7}"/>
    <cellStyle name="Normal 4 2 5 9" xfId="1267" xr:uid="{CCAD2FF4-7F75-4DAB-8B2F-99C743753E71}"/>
    <cellStyle name="Normal 4 2 6" xfId="368" xr:uid="{00000000-0005-0000-0000-000082020000}"/>
    <cellStyle name="Normal 4 2 6 2" xfId="849" xr:uid="{00000000-0005-0000-0000-000083020000}"/>
    <cellStyle name="Normal 4 2 6 2 2" xfId="3913" xr:uid="{29A6DC38-106E-4CD3-B245-14C95EEF2C8B}"/>
    <cellStyle name="Normal 4 2 6 2 2 2" xfId="8131" xr:uid="{7B1071D5-20C9-48E5-A831-793DB7F23E0D}"/>
    <cellStyle name="Normal 4 2 6 2 3" xfId="5986" xr:uid="{B8E81627-9A9D-497C-B66D-348DD0AF6316}"/>
    <cellStyle name="Normal 4 2 6 2 4" xfId="1684" xr:uid="{5C2881FB-88B0-45E1-8D04-3F62B470D777}"/>
    <cellStyle name="Normal 4 2 6 3" xfId="2097" xr:uid="{A68BB0A2-F467-47F9-89BD-C5A7AFE1396F}"/>
    <cellStyle name="Normal 4 2 6 3 2" xfId="4326" xr:uid="{25257158-B4F2-497A-BBB3-7BB34E64A563}"/>
    <cellStyle name="Normal 4 2 6 3 2 2" xfId="8544" xr:uid="{F51CE753-0E6C-40B8-A337-DEE2B5FB3489}"/>
    <cellStyle name="Normal 4 2 6 3 3" xfId="6399" xr:uid="{870E1261-47E8-4EA5-8927-A0AD3AB8DE7C}"/>
    <cellStyle name="Normal 4 2 6 4" xfId="2510" xr:uid="{E1129AC7-D8C4-43C8-B89B-4A38237014EC}"/>
    <cellStyle name="Normal 4 2 6 4 2" xfId="4739" xr:uid="{CDFCF0B0-21B1-44DB-B77C-3286EC4EDF8C}"/>
    <cellStyle name="Normal 4 2 6 4 2 2" xfId="8957" xr:uid="{851ECC06-D2E4-45BF-BA9B-EDCB73279F7F}"/>
    <cellStyle name="Normal 4 2 6 4 3" xfId="6812" xr:uid="{C2808859-8CD0-463E-BA6D-A38CFCCE0001}"/>
    <cellStyle name="Normal 4 2 6 5" xfId="2923" xr:uid="{9A78DE9B-77CB-4E27-B9E8-6B7B98E97206}"/>
    <cellStyle name="Normal 4 2 6 5 2" xfId="5152" xr:uid="{036D6817-27F9-4BD3-934E-DBBC39BE3F0B}"/>
    <cellStyle name="Normal 4 2 6 5 2 2" xfId="9370" xr:uid="{6E105E8E-4481-46E3-9AB9-D28A78B755BD}"/>
    <cellStyle name="Normal 4 2 6 5 3" xfId="7225" xr:uid="{0C7605F3-4445-470F-BD53-DC4F76F0E6B5}"/>
    <cellStyle name="Normal 4 2 6 6" xfId="3359" xr:uid="{AB4ACFCC-F0D7-4DD3-84A5-7CDC82BAA30A}"/>
    <cellStyle name="Normal 4 2 6 6 2" xfId="7638" xr:uid="{3C7466B5-DE00-4285-90BA-23CA5B5570D3}"/>
    <cellStyle name="Normal 4 2 6 7" xfId="5573" xr:uid="{ED10D5AE-3681-40CE-AD3F-3675786D5E98}"/>
    <cellStyle name="Normal 4 2 6 8" xfId="1269" xr:uid="{6A6C4860-E971-43DE-9C55-427225F15E8C}"/>
    <cellStyle name="Normal 4 3" xfId="369" xr:uid="{00000000-0005-0000-0000-000084020000}"/>
    <cellStyle name="Normal 4 3 10" xfId="1270" xr:uid="{F1EADBA0-7CF4-4B5D-BE5E-03B720D3B0AB}"/>
    <cellStyle name="Normal 4 3 2" xfId="370" xr:uid="{00000000-0005-0000-0000-000085020000}"/>
    <cellStyle name="Normal 4 3 2 2" xfId="371" xr:uid="{00000000-0005-0000-0000-000086020000}"/>
    <cellStyle name="Normal 4 3 2 2 2" xfId="372" xr:uid="{00000000-0005-0000-0000-000087020000}"/>
    <cellStyle name="Normal 4 3 2 2 2 10" xfId="1271" xr:uid="{92503343-A486-430E-8245-2314797BA85B}"/>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3917" xr:uid="{810D5545-855F-4306-A2C4-C0C420477F52}"/>
    <cellStyle name="Normal 4 3 2 2 2 2 2 2 2 2" xfId="8135" xr:uid="{2C1CCDEE-F5A6-4C91-A7EC-B5776DC09AFE}"/>
    <cellStyle name="Normal 4 3 2 2 2 2 2 2 3" xfId="5990" xr:uid="{FE76347C-4922-4BDD-911B-61EF78B2588F}"/>
    <cellStyle name="Normal 4 3 2 2 2 2 2 2 4" xfId="1688" xr:uid="{624D5504-8B0B-488C-9279-2A059C1C1B4E}"/>
    <cellStyle name="Normal 4 3 2 2 2 2 2 3" xfId="2101" xr:uid="{900EB8A4-3283-4F2A-9B64-3AFE099ED5F6}"/>
    <cellStyle name="Normal 4 3 2 2 2 2 2 3 2" xfId="4330" xr:uid="{2F2389EB-1F32-4EE5-80A8-98909A80CA01}"/>
    <cellStyle name="Normal 4 3 2 2 2 2 2 3 2 2" xfId="8548" xr:uid="{A0C0BFB4-0EA1-423B-8222-2A755CE9181C}"/>
    <cellStyle name="Normal 4 3 2 2 2 2 2 3 3" xfId="6403" xr:uid="{74F33EDB-9410-482A-859D-F12F42D209A4}"/>
    <cellStyle name="Normal 4 3 2 2 2 2 2 4" xfId="2514" xr:uid="{0F99037B-8723-474D-9CBC-F0FE7658A4D5}"/>
    <cellStyle name="Normal 4 3 2 2 2 2 2 4 2" xfId="4743" xr:uid="{C69F06D9-7266-4531-9FC6-87CEFAFFBD1A}"/>
    <cellStyle name="Normal 4 3 2 2 2 2 2 4 2 2" xfId="8961" xr:uid="{14DC8036-153F-4EB7-B0E5-4D0BA2436BD6}"/>
    <cellStyle name="Normal 4 3 2 2 2 2 2 4 3" xfId="6816" xr:uid="{569B137F-C814-4CA0-B5CF-E3CF52A7D290}"/>
    <cellStyle name="Normal 4 3 2 2 2 2 2 5" xfId="2927" xr:uid="{21759A7C-9E9E-41B1-950F-5A740EF697F0}"/>
    <cellStyle name="Normal 4 3 2 2 2 2 2 5 2" xfId="5156" xr:uid="{8990CC06-176F-4504-8B7F-30286F7A9E10}"/>
    <cellStyle name="Normal 4 3 2 2 2 2 2 5 2 2" xfId="9374" xr:uid="{6BF9A900-294E-4D2F-868E-A5566D405D07}"/>
    <cellStyle name="Normal 4 3 2 2 2 2 2 5 3" xfId="7229" xr:uid="{C1278568-91F2-43D8-8A8B-2D026D447155}"/>
    <cellStyle name="Normal 4 3 2 2 2 2 2 6" xfId="3363" xr:uid="{31872288-C43E-43F6-906C-E1AA6546F67E}"/>
    <cellStyle name="Normal 4 3 2 2 2 2 2 6 2" xfId="7642" xr:uid="{C4963601-FE13-4BA9-B667-5B2F307146C9}"/>
    <cellStyle name="Normal 4 3 2 2 2 2 2 7" xfId="5577" xr:uid="{08F043AB-B55B-4A0E-8345-EA5F37E827FB}"/>
    <cellStyle name="Normal 4 3 2 2 2 2 2 8" xfId="1273" xr:uid="{35219328-D256-4825-B137-B166DCDEDBFE}"/>
    <cellStyle name="Normal 4 3 2 2 2 2 3" xfId="853" xr:uid="{00000000-0005-0000-0000-00008B020000}"/>
    <cellStyle name="Normal 4 3 2 2 2 2 3 2" xfId="3916" xr:uid="{79126BFE-DE58-4EE8-A945-B4464E43BD1D}"/>
    <cellStyle name="Normal 4 3 2 2 2 2 3 2 2" xfId="8134" xr:uid="{015A5D8F-D8FD-441A-B1E2-FB8EE14645BC}"/>
    <cellStyle name="Normal 4 3 2 2 2 2 3 3" xfId="5989" xr:uid="{63EC3979-3D8C-4FFD-AC28-6811AE3AED32}"/>
    <cellStyle name="Normal 4 3 2 2 2 2 3 4" xfId="1687" xr:uid="{5ED87687-9AA1-427E-B809-8759226F00CA}"/>
    <cellStyle name="Normal 4 3 2 2 2 2 4" xfId="2100" xr:uid="{E649A47D-C146-4A16-9DA5-A797A11A597C}"/>
    <cellStyle name="Normal 4 3 2 2 2 2 4 2" xfId="4329" xr:uid="{ED4AA221-E6A1-44A7-A526-47BB3271C58A}"/>
    <cellStyle name="Normal 4 3 2 2 2 2 4 2 2" xfId="8547" xr:uid="{51D2D0D5-A70C-4D88-8D0F-E316B268C5F0}"/>
    <cellStyle name="Normal 4 3 2 2 2 2 4 3" xfId="6402" xr:uid="{9122B6BC-6B4A-4C3A-AEA3-1FF126D8134D}"/>
    <cellStyle name="Normal 4 3 2 2 2 2 5" xfId="2513" xr:uid="{A6258E8D-B0DD-498C-A105-05A8575AE2EC}"/>
    <cellStyle name="Normal 4 3 2 2 2 2 5 2" xfId="4742" xr:uid="{D709CC80-624F-476C-901D-43DB0BFF0B24}"/>
    <cellStyle name="Normal 4 3 2 2 2 2 5 2 2" xfId="8960" xr:uid="{2BB9A654-0715-4279-9B5F-ED41B61332D0}"/>
    <cellStyle name="Normal 4 3 2 2 2 2 5 3" xfId="6815" xr:uid="{30A7E9DC-3F23-42EB-9D44-3D44A0A0FCD9}"/>
    <cellStyle name="Normal 4 3 2 2 2 2 6" xfId="2926" xr:uid="{19AA3A5D-46AE-4DED-804C-00E2C7DE4A0F}"/>
    <cellStyle name="Normal 4 3 2 2 2 2 6 2" xfId="5155" xr:uid="{89317F83-72A4-474D-B5C9-52A2228D3089}"/>
    <cellStyle name="Normal 4 3 2 2 2 2 6 2 2" xfId="9373" xr:uid="{B5F55022-B8AD-481A-AE2F-28B03C3C36DC}"/>
    <cellStyle name="Normal 4 3 2 2 2 2 6 3" xfId="7228" xr:uid="{D80249BA-F805-465E-BB9A-A49B9DEE32EA}"/>
    <cellStyle name="Normal 4 3 2 2 2 2 7" xfId="3362" xr:uid="{443D3D9F-33A7-4A47-A4C8-830A2FC80485}"/>
    <cellStyle name="Normal 4 3 2 2 2 2 7 2" xfId="7641" xr:uid="{4696E431-5B5D-4708-9B74-A8CCBEA01411}"/>
    <cellStyle name="Normal 4 3 2 2 2 2 8" xfId="5576" xr:uid="{A60A1E92-2B81-457B-9FF3-3BE03F8E7F0E}"/>
    <cellStyle name="Normal 4 3 2 2 2 2 9" xfId="1272" xr:uid="{334BA9B8-1494-49D2-98E9-3D0B00AF5889}"/>
    <cellStyle name="Normal 4 3 2 2 2 3" xfId="375" xr:uid="{00000000-0005-0000-0000-00008C020000}"/>
    <cellStyle name="Normal 4 3 2 2 2 3 2" xfId="855" xr:uid="{00000000-0005-0000-0000-00008D020000}"/>
    <cellStyle name="Normal 4 3 2 2 2 3 2 2" xfId="3918" xr:uid="{E2A5FDC9-C902-44EB-9AAB-5C3FCA009847}"/>
    <cellStyle name="Normal 4 3 2 2 2 3 2 2 2" xfId="8136" xr:uid="{7468C7DC-F212-4B8C-976A-F7727F2416D3}"/>
    <cellStyle name="Normal 4 3 2 2 2 3 2 3" xfId="5991" xr:uid="{E3F981B2-2818-478B-A152-50D18ABD541A}"/>
    <cellStyle name="Normal 4 3 2 2 2 3 2 4" xfId="1689" xr:uid="{F8932723-5B26-422F-80B5-96CEA9A3F609}"/>
    <cellStyle name="Normal 4 3 2 2 2 3 3" xfId="2102" xr:uid="{C21B7C9E-67BB-42F4-8B9F-35F0A0C1A1AE}"/>
    <cellStyle name="Normal 4 3 2 2 2 3 3 2" xfId="4331" xr:uid="{2FD21532-33B3-48BB-A680-D2F43177C2A6}"/>
    <cellStyle name="Normal 4 3 2 2 2 3 3 2 2" xfId="8549" xr:uid="{ED85406E-E0B3-4F7C-8DC9-229CF1E95262}"/>
    <cellStyle name="Normal 4 3 2 2 2 3 3 3" xfId="6404" xr:uid="{75B6FFC8-4985-434F-A191-6FFFA85FB588}"/>
    <cellStyle name="Normal 4 3 2 2 2 3 4" xfId="2515" xr:uid="{29F0EA89-2EF3-4A14-9C24-38325444FDC0}"/>
    <cellStyle name="Normal 4 3 2 2 2 3 4 2" xfId="4744" xr:uid="{3FB8328F-6100-4CA7-8883-52AA47598BE5}"/>
    <cellStyle name="Normal 4 3 2 2 2 3 4 2 2" xfId="8962" xr:uid="{F5DCE911-259A-4188-BE96-396F0D323DC8}"/>
    <cellStyle name="Normal 4 3 2 2 2 3 4 3" xfId="6817" xr:uid="{7385F091-5281-4815-9B24-EACBDA194DD3}"/>
    <cellStyle name="Normal 4 3 2 2 2 3 5" xfId="2928" xr:uid="{78C7D03B-9EAC-4E54-9DCD-CED103B36EE7}"/>
    <cellStyle name="Normal 4 3 2 2 2 3 5 2" xfId="5157" xr:uid="{35381C70-B709-4656-B56F-493E8DBC711D}"/>
    <cellStyle name="Normal 4 3 2 2 2 3 5 2 2" xfId="9375" xr:uid="{94D284EB-84C4-4BDE-BB39-4F9AA508DF56}"/>
    <cellStyle name="Normal 4 3 2 2 2 3 5 3" xfId="7230" xr:uid="{9E016476-F11A-46F8-8284-B2F38F037D57}"/>
    <cellStyle name="Normal 4 3 2 2 2 3 6" xfId="3364" xr:uid="{0BE9BE3E-083F-4BE9-8E94-C345ADD9F12D}"/>
    <cellStyle name="Normal 4 3 2 2 2 3 6 2" xfId="7643" xr:uid="{D6D8050E-CFE5-45F9-BFB4-43603FCD9CB1}"/>
    <cellStyle name="Normal 4 3 2 2 2 3 7" xfId="5578" xr:uid="{3CA5CC4E-C50C-40B7-B6D4-06A232DBBD75}"/>
    <cellStyle name="Normal 4 3 2 2 2 3 8" xfId="1274" xr:uid="{6DF0DEC3-48EC-49AD-B3A9-5014A331587F}"/>
    <cellStyle name="Normal 4 3 2 2 2 4" xfId="852" xr:uid="{00000000-0005-0000-0000-00008E020000}"/>
    <cellStyle name="Normal 4 3 2 2 2 4 2" xfId="3915" xr:uid="{D1C94B59-6300-4A25-B7FA-0DA7EB4AD884}"/>
    <cellStyle name="Normal 4 3 2 2 2 4 2 2" xfId="8133" xr:uid="{EB89A0E8-EA39-427D-9551-4BFBF914C9F9}"/>
    <cellStyle name="Normal 4 3 2 2 2 4 3" xfId="5988" xr:uid="{A11CE47A-330C-4B21-B458-BF66378CC862}"/>
    <cellStyle name="Normal 4 3 2 2 2 4 4" xfId="1686" xr:uid="{F731E950-101A-4C5C-8960-04824031EA45}"/>
    <cellStyle name="Normal 4 3 2 2 2 5" xfId="2099" xr:uid="{FC42F29C-18A3-4DED-BA29-8102FAB9743D}"/>
    <cellStyle name="Normal 4 3 2 2 2 5 2" xfId="4328" xr:uid="{1B99050E-3B5B-445A-B6A4-9FB70216CC87}"/>
    <cellStyle name="Normal 4 3 2 2 2 5 2 2" xfId="8546" xr:uid="{1922F09F-D40D-4040-8420-6C4A08E16EE6}"/>
    <cellStyle name="Normal 4 3 2 2 2 5 3" xfId="6401" xr:uid="{86C49CF8-0BAA-429E-BCDB-3C9762A4B245}"/>
    <cellStyle name="Normal 4 3 2 2 2 6" xfId="2512" xr:uid="{117D69A7-7CF1-4FDD-9A53-596011A6462B}"/>
    <cellStyle name="Normal 4 3 2 2 2 6 2" xfId="4741" xr:uid="{5162CE0F-79DC-48F2-BC36-8CEB512C190C}"/>
    <cellStyle name="Normal 4 3 2 2 2 6 2 2" xfId="8959" xr:uid="{A881590E-C27F-4321-9C09-D181154C8A59}"/>
    <cellStyle name="Normal 4 3 2 2 2 6 3" xfId="6814" xr:uid="{313182A0-E099-410B-B348-DC7424AD0B4F}"/>
    <cellStyle name="Normal 4 3 2 2 2 7" xfId="2925" xr:uid="{88AA8624-F3BA-42C0-81F5-09DCCB0A97A0}"/>
    <cellStyle name="Normal 4 3 2 2 2 7 2" xfId="5154" xr:uid="{9C9FD0FC-131F-4116-88C2-6F755BE4BC61}"/>
    <cellStyle name="Normal 4 3 2 2 2 7 2 2" xfId="9372" xr:uid="{4E0CD490-F793-4902-B318-E585CAAA9A03}"/>
    <cellStyle name="Normal 4 3 2 2 2 7 3" xfId="7227" xr:uid="{996B1092-771F-4497-94F5-CFF8BC8086E8}"/>
    <cellStyle name="Normal 4 3 2 2 2 8" xfId="3361" xr:uid="{C2F9471A-ED45-4E30-8516-11902C25570B}"/>
    <cellStyle name="Normal 4 3 2 2 2 8 2" xfId="7640" xr:uid="{169057F4-2212-4DB8-8BCD-DDA73A623AA6}"/>
    <cellStyle name="Normal 4 3 2 2 2 9" xfId="5575" xr:uid="{4DAC9CF1-0E1C-4322-83D8-DE593E5EB344}"/>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10" xfId="1275" xr:uid="{89505004-594D-4BE5-8FF2-77BFB7C0F344}"/>
    <cellStyle name="Normal 4 3 3 2" xfId="378" xr:uid="{00000000-0005-0000-0000-000093020000}"/>
    <cellStyle name="Normal 4 3 3 2 2" xfId="379" xr:uid="{00000000-0005-0000-0000-000094020000}"/>
    <cellStyle name="Normal 4 3 3 2 2 2" xfId="859" xr:uid="{00000000-0005-0000-0000-000095020000}"/>
    <cellStyle name="Normal 4 3 3 2 2 2 2" xfId="3921" xr:uid="{1656FC8C-70C1-4B52-99C6-AA2AF9EA8E2C}"/>
    <cellStyle name="Normal 4 3 3 2 2 2 2 2" xfId="8139" xr:uid="{4D4E0C39-F2C9-4F4A-A51E-D3432838A229}"/>
    <cellStyle name="Normal 4 3 3 2 2 2 3" xfId="5994" xr:uid="{D18568D3-A9A1-41E0-B61C-744B2DB8BC48}"/>
    <cellStyle name="Normal 4 3 3 2 2 2 4" xfId="1692" xr:uid="{7825480F-E7FB-40E3-8D6E-A4089309A4E8}"/>
    <cellStyle name="Normal 4 3 3 2 2 3" xfId="2105" xr:uid="{20F1C695-C69F-415D-80E4-7F97EF62355C}"/>
    <cellStyle name="Normal 4 3 3 2 2 3 2" xfId="4334" xr:uid="{0A6A8A01-9FE3-4861-8DB6-D19F1EB27FBC}"/>
    <cellStyle name="Normal 4 3 3 2 2 3 2 2" xfId="8552" xr:uid="{FCD2F823-A862-4BA8-ABE4-21305CB295BB}"/>
    <cellStyle name="Normal 4 3 3 2 2 3 3" xfId="6407" xr:uid="{C8F9FCC3-F2B1-4A1F-B76C-9D3BFA4F64BA}"/>
    <cellStyle name="Normal 4 3 3 2 2 4" xfId="2518" xr:uid="{CF75DD79-E1F5-47E2-A9BF-13F0301426EF}"/>
    <cellStyle name="Normal 4 3 3 2 2 4 2" xfId="4747" xr:uid="{4065B5AD-452D-4AF3-9974-8D6FD010CC03}"/>
    <cellStyle name="Normal 4 3 3 2 2 4 2 2" xfId="8965" xr:uid="{256C5897-9A49-4DA2-98B2-6472E1612252}"/>
    <cellStyle name="Normal 4 3 3 2 2 4 3" xfId="6820" xr:uid="{D2B16BBC-7A7B-49D7-A8F2-EFA3BD119DA7}"/>
    <cellStyle name="Normal 4 3 3 2 2 5" xfId="2931" xr:uid="{C83826FD-8F3A-4592-B0FE-C107B6589118}"/>
    <cellStyle name="Normal 4 3 3 2 2 5 2" xfId="5160" xr:uid="{58746353-C5F7-4AF3-A64B-4E3748BD6D41}"/>
    <cellStyle name="Normal 4 3 3 2 2 5 2 2" xfId="9378" xr:uid="{E2B6341B-ABB6-4817-AED1-4B11B27BB54E}"/>
    <cellStyle name="Normal 4 3 3 2 2 5 3" xfId="7233" xr:uid="{FD8E3AD9-AD78-4C06-A930-FCD636E2BE2A}"/>
    <cellStyle name="Normal 4 3 3 2 2 6" xfId="3367" xr:uid="{CC1E07B4-2F33-4937-B3AF-D09ED543BDE2}"/>
    <cellStyle name="Normal 4 3 3 2 2 6 2" xfId="7646" xr:uid="{47D81D55-BBC6-4AFA-A0FA-5DB09399FF13}"/>
    <cellStyle name="Normal 4 3 3 2 2 7" xfId="5581" xr:uid="{A35FC81C-5A2D-4656-8588-01B70C8A2EEC}"/>
    <cellStyle name="Normal 4 3 3 2 2 8" xfId="1277" xr:uid="{5668FC97-A620-4EE2-B31A-C88F725CC8B8}"/>
    <cellStyle name="Normal 4 3 3 2 3" xfId="858" xr:uid="{00000000-0005-0000-0000-000096020000}"/>
    <cellStyle name="Normal 4 3 3 2 3 2" xfId="3920" xr:uid="{DBEB1359-4CC7-40BA-A88A-2C9E21E00784}"/>
    <cellStyle name="Normal 4 3 3 2 3 2 2" xfId="8138" xr:uid="{B24DED39-DC2E-4E95-ADCA-3566AD7AAD10}"/>
    <cellStyle name="Normal 4 3 3 2 3 3" xfId="5993" xr:uid="{7F97DDB2-039D-4DDC-ACEC-EA1A715FC0CE}"/>
    <cellStyle name="Normal 4 3 3 2 3 4" xfId="1691" xr:uid="{54C431E7-86C1-4AFC-A5A3-C901C53B149D}"/>
    <cellStyle name="Normal 4 3 3 2 4" xfId="2104" xr:uid="{720EF574-479F-4ADE-9CA6-EC7AE7189331}"/>
    <cellStyle name="Normal 4 3 3 2 4 2" xfId="4333" xr:uid="{3CDF6E49-613D-49ED-8EC6-48D76A6A8423}"/>
    <cellStyle name="Normal 4 3 3 2 4 2 2" xfId="8551" xr:uid="{B0BC271E-6EC7-4982-8792-9E506108EA63}"/>
    <cellStyle name="Normal 4 3 3 2 4 3" xfId="6406" xr:uid="{3415D16D-E0D4-433B-B039-2477E5771359}"/>
    <cellStyle name="Normal 4 3 3 2 5" xfId="2517" xr:uid="{95B96685-9190-4DA0-963C-F04BE4F7DB57}"/>
    <cellStyle name="Normal 4 3 3 2 5 2" xfId="4746" xr:uid="{D1B456CB-EE8A-49E3-B488-3D252C12C2F2}"/>
    <cellStyle name="Normal 4 3 3 2 5 2 2" xfId="8964" xr:uid="{9A9A81BF-0B54-478B-8ADB-C5FA4E3C3D95}"/>
    <cellStyle name="Normal 4 3 3 2 5 3" xfId="6819" xr:uid="{8B8ECA76-862D-4F97-A4D7-5A9610CCCCAD}"/>
    <cellStyle name="Normal 4 3 3 2 6" xfId="2930" xr:uid="{FD7F8A2E-84F6-4EB9-9B71-EE08D2937225}"/>
    <cellStyle name="Normal 4 3 3 2 6 2" xfId="5159" xr:uid="{4D8098F2-12B6-4236-A3C6-D39315193FE8}"/>
    <cellStyle name="Normal 4 3 3 2 6 2 2" xfId="9377" xr:uid="{871A5A93-DAA9-448A-9630-18DAB1C8C6BC}"/>
    <cellStyle name="Normal 4 3 3 2 6 3" xfId="7232" xr:uid="{A79305EF-C91D-4D06-9527-D60365C52F17}"/>
    <cellStyle name="Normal 4 3 3 2 7" xfId="3366" xr:uid="{0C2477AA-E1CC-4FF3-8244-97A1B5EE486F}"/>
    <cellStyle name="Normal 4 3 3 2 7 2" xfId="7645" xr:uid="{5948BB34-CC1B-42DC-9D6C-238412296188}"/>
    <cellStyle name="Normal 4 3 3 2 8" xfId="5580" xr:uid="{91F697C1-1CE6-4327-8573-58F6B144BF5E}"/>
    <cellStyle name="Normal 4 3 3 2 9" xfId="1276" xr:uid="{405FAA09-FF37-4E00-834F-DA49FDFB15F4}"/>
    <cellStyle name="Normal 4 3 3 3" xfId="380" xr:uid="{00000000-0005-0000-0000-000097020000}"/>
    <cellStyle name="Normal 4 3 3 3 2" xfId="860" xr:uid="{00000000-0005-0000-0000-000098020000}"/>
    <cellStyle name="Normal 4 3 3 3 2 2" xfId="3922" xr:uid="{9D426316-3A17-41CF-8DFA-444B51172162}"/>
    <cellStyle name="Normal 4 3 3 3 2 2 2" xfId="8140" xr:uid="{95B52DA6-AB7C-49F5-88DC-A4FEC12CDDCC}"/>
    <cellStyle name="Normal 4 3 3 3 2 3" xfId="5995" xr:uid="{A7357FFC-75A1-4E76-85A0-44B1515AD47E}"/>
    <cellStyle name="Normal 4 3 3 3 2 4" xfId="1693" xr:uid="{72C9791A-A805-46CE-BA78-E5DCD9A68936}"/>
    <cellStyle name="Normal 4 3 3 3 3" xfId="2106" xr:uid="{450853A6-B65F-4A2C-A4D8-39B790FAB998}"/>
    <cellStyle name="Normal 4 3 3 3 3 2" xfId="4335" xr:uid="{A5750301-C68B-4D8A-814B-557C31F580AD}"/>
    <cellStyle name="Normal 4 3 3 3 3 2 2" xfId="8553" xr:uid="{082D2B7A-2015-48EF-89B4-D57175659A14}"/>
    <cellStyle name="Normal 4 3 3 3 3 3" xfId="6408" xr:uid="{BDCF336A-DF38-4244-AC20-53F1BC18DCD1}"/>
    <cellStyle name="Normal 4 3 3 3 4" xfId="2519" xr:uid="{EB8CDA8B-C484-4D00-8AD4-192B67EBC7CF}"/>
    <cellStyle name="Normal 4 3 3 3 4 2" xfId="4748" xr:uid="{161BA8A5-E7CD-4632-B8FC-40EC123B7A97}"/>
    <cellStyle name="Normal 4 3 3 3 4 2 2" xfId="8966" xr:uid="{6086C36C-6331-40C6-BCB7-91A2E07313EB}"/>
    <cellStyle name="Normal 4 3 3 3 4 3" xfId="6821" xr:uid="{CDEDE81D-E5CD-47B0-A923-8084C24FF7CC}"/>
    <cellStyle name="Normal 4 3 3 3 5" xfId="2932" xr:uid="{00EDED1B-F0C5-4881-AC58-3ADBB658E435}"/>
    <cellStyle name="Normal 4 3 3 3 5 2" xfId="5161" xr:uid="{C12058EF-3027-4828-8069-E776729CC2CD}"/>
    <cellStyle name="Normal 4 3 3 3 5 2 2" xfId="9379" xr:uid="{1486C98A-A58D-48A8-B015-7D3F0C6320AA}"/>
    <cellStyle name="Normal 4 3 3 3 5 3" xfId="7234" xr:uid="{A2E8CBE5-D61E-41AE-BA68-A083D8226F93}"/>
    <cellStyle name="Normal 4 3 3 3 6" xfId="3368" xr:uid="{18BD9989-FF06-4DA5-8C9D-F8530A83F266}"/>
    <cellStyle name="Normal 4 3 3 3 6 2" xfId="7647" xr:uid="{02443A86-ADB6-429C-93E6-5B5EB9911150}"/>
    <cellStyle name="Normal 4 3 3 3 7" xfId="5582" xr:uid="{B8E075A7-F671-4FD7-B797-6339501967D4}"/>
    <cellStyle name="Normal 4 3 3 3 8" xfId="1278" xr:uid="{1FC122B0-11AA-44C6-BC35-576D2E9BCBE7}"/>
    <cellStyle name="Normal 4 3 3 4" xfId="857" xr:uid="{00000000-0005-0000-0000-000099020000}"/>
    <cellStyle name="Normal 4 3 3 4 2" xfId="3919" xr:uid="{84E4ABC4-8448-4B35-9D0B-2B86B28B5B06}"/>
    <cellStyle name="Normal 4 3 3 4 2 2" xfId="8137" xr:uid="{28D9B014-0A1E-41E0-8F12-E8C6778B5303}"/>
    <cellStyle name="Normal 4 3 3 4 3" xfId="5992" xr:uid="{258A2A2B-D7F0-48AC-BDAF-99CDC1D9A89F}"/>
    <cellStyle name="Normal 4 3 3 4 4" xfId="1690" xr:uid="{1171A1C6-E41F-4E31-969A-18C750B09AD8}"/>
    <cellStyle name="Normal 4 3 3 5" xfId="2103" xr:uid="{C4236E68-8C25-445B-A735-3F17C823C03D}"/>
    <cellStyle name="Normal 4 3 3 5 2" xfId="4332" xr:uid="{761375A1-CC58-4351-A2D7-9DA38BD3426B}"/>
    <cellStyle name="Normal 4 3 3 5 2 2" xfId="8550" xr:uid="{032D97E8-CC78-419C-874F-C984DE534E37}"/>
    <cellStyle name="Normal 4 3 3 5 3" xfId="6405" xr:uid="{598765A0-F001-4EF5-8DFD-3D547D1554EC}"/>
    <cellStyle name="Normal 4 3 3 6" xfId="2516" xr:uid="{89499E23-A089-4646-953F-6A88C1FE0C64}"/>
    <cellStyle name="Normal 4 3 3 6 2" xfId="4745" xr:uid="{F83FCA17-32CE-4A25-88FC-CF635A5CBF62}"/>
    <cellStyle name="Normal 4 3 3 6 2 2" xfId="8963" xr:uid="{345F0665-6ED1-42E1-B30E-93F97BE7D87F}"/>
    <cellStyle name="Normal 4 3 3 6 3" xfId="6818" xr:uid="{1FEB6531-2FAA-45E1-AEC6-44CFF40BC60D}"/>
    <cellStyle name="Normal 4 3 3 7" xfId="2929" xr:uid="{41CC2366-9A31-4F14-BBCD-9A4129B870F2}"/>
    <cellStyle name="Normal 4 3 3 7 2" xfId="5158" xr:uid="{6BF4216A-77AC-48CF-B699-E126046EED61}"/>
    <cellStyle name="Normal 4 3 3 7 2 2" xfId="9376" xr:uid="{8F1A998A-E16D-4FC6-BE35-459761F112EE}"/>
    <cellStyle name="Normal 4 3 3 7 3" xfId="7231" xr:uid="{39E70B1A-11CF-4ADF-BB8A-31FCBE4DC45F}"/>
    <cellStyle name="Normal 4 3 3 8" xfId="3365" xr:uid="{DB1E4634-2DD1-4BC1-9128-2E42988F599A}"/>
    <cellStyle name="Normal 4 3 3 8 2" xfId="7644" xr:uid="{7EC860F8-872E-4B26-A058-808B381C280C}"/>
    <cellStyle name="Normal 4 3 3 9" xfId="5579" xr:uid="{23480F1E-E39D-4F42-8EEE-EE1ECBB8F2CA}"/>
    <cellStyle name="Normal 4 3 4" xfId="850" xr:uid="{00000000-0005-0000-0000-00009A020000}"/>
    <cellStyle name="Normal 4 3 4 2" xfId="3914" xr:uid="{34CD44D1-8869-4CDE-B165-13B601C1CCC8}"/>
    <cellStyle name="Normal 4 3 4 2 2" xfId="8132" xr:uid="{AFD32F2A-2153-4789-9BB3-9532A5CC7A6B}"/>
    <cellStyle name="Normal 4 3 4 3" xfId="5987" xr:uid="{2A69661F-1D6C-4432-A502-DF6BAE92D98C}"/>
    <cellStyle name="Normal 4 3 4 4" xfId="1685" xr:uid="{B2DE034C-22BE-423B-B520-6E65ED33350A}"/>
    <cellStyle name="Normal 4 3 5" xfId="2098" xr:uid="{E5485941-F48F-4FB3-A955-4AEDA0C03555}"/>
    <cellStyle name="Normal 4 3 5 2" xfId="4327" xr:uid="{5E2D53B5-9590-4DE0-A469-B5C99E343080}"/>
    <cellStyle name="Normal 4 3 5 2 2" xfId="8545" xr:uid="{40F7F9D6-32DF-47A9-B23C-CB72C07FBE80}"/>
    <cellStyle name="Normal 4 3 5 3" xfId="6400" xr:uid="{248F744A-AC3F-4CA3-BB39-7EC188C39DF5}"/>
    <cellStyle name="Normal 4 3 6" xfId="2511" xr:uid="{3DCEF6E8-C0A9-4FE0-87F0-64AA00A85DBE}"/>
    <cellStyle name="Normal 4 3 6 2" xfId="4740" xr:uid="{68BBD53A-921C-4DAB-AD41-AC78CD06A678}"/>
    <cellStyle name="Normal 4 3 6 2 2" xfId="8958" xr:uid="{47AFC763-BFC3-446B-8CD6-DA4078BE624F}"/>
    <cellStyle name="Normal 4 3 6 3" xfId="6813" xr:uid="{42E61C89-3976-4CDF-BBAA-08E437ECF7D3}"/>
    <cellStyle name="Normal 4 3 7" xfId="2924" xr:uid="{D180B890-405D-4391-82A7-354FDFDE8BFA}"/>
    <cellStyle name="Normal 4 3 7 2" xfId="5153" xr:uid="{F7F07C85-DB23-44A4-BF9D-64D989C2C3E1}"/>
    <cellStyle name="Normal 4 3 7 2 2" xfId="9371" xr:uid="{5101EE2A-23D1-4CC8-8BEF-D65E7EF67880}"/>
    <cellStyle name="Normal 4 3 7 3" xfId="7226" xr:uid="{81B525BF-47C2-4FEA-8327-31C78F23723C}"/>
    <cellStyle name="Normal 4 3 8" xfId="3360" xr:uid="{A1B006E0-711A-44B1-84D6-ABECDD658F72}"/>
    <cellStyle name="Normal 4 3 8 2" xfId="7639" xr:uid="{9E69ACE1-14A2-462A-A77D-0C415F8D2777}"/>
    <cellStyle name="Normal 4 3 9" xfId="5574" xr:uid="{8BAF25CD-301C-491B-BF6B-5E766D8A5EBD}"/>
    <cellStyle name="Normal 4 4" xfId="381" xr:uid="{00000000-0005-0000-0000-00009B020000}"/>
    <cellStyle name="Normal 4 4 10" xfId="3369" xr:uid="{9E414110-A48D-4427-969A-04A75A148C46}"/>
    <cellStyle name="Normal 4 4 10 2" xfId="7648" xr:uid="{D219B850-57C3-4703-B448-EE7070F671E5}"/>
    <cellStyle name="Normal 4 4 11" xfId="5583" xr:uid="{7DB8E3C8-DA9E-42F7-B9C6-06E0179E3196}"/>
    <cellStyle name="Normal 4 4 12" xfId="1279" xr:uid="{C981203B-CD91-4565-AF4E-9ADAC4003627}"/>
    <cellStyle name="Normal 4 4 2" xfId="382" xr:uid="{00000000-0005-0000-0000-00009C020000}"/>
    <cellStyle name="Normal 4 4 2 10" xfId="5584" xr:uid="{29323239-5E16-41D3-9ED0-3FD3CC9CAD27}"/>
    <cellStyle name="Normal 4 4 2 11" xfId="1280" xr:uid="{9E98BE09-A2CD-40F2-980C-2ACBEDB8E555}"/>
    <cellStyle name="Normal 4 4 2 2" xfId="383" xr:uid="{00000000-0005-0000-0000-00009D020000}"/>
    <cellStyle name="Normal 4 4 2 2 10" xfId="1281" xr:uid="{095EAFAC-0671-48B2-B674-92226564503B}"/>
    <cellStyle name="Normal 4 4 2 2 2" xfId="384" xr:uid="{00000000-0005-0000-0000-00009E020000}"/>
    <cellStyle name="Normal 4 4 2 2 2 2" xfId="385" xr:uid="{00000000-0005-0000-0000-00009F020000}"/>
    <cellStyle name="Normal 4 4 2 2 2 2 2" xfId="865" xr:uid="{00000000-0005-0000-0000-0000A0020000}"/>
    <cellStyle name="Normal 4 4 2 2 2 2 2 2" xfId="3927" xr:uid="{AAB49448-52B8-4110-8758-3F4203B1F6EC}"/>
    <cellStyle name="Normal 4 4 2 2 2 2 2 2 2" xfId="8145" xr:uid="{1639D571-6014-4DBD-B105-6D92182C015C}"/>
    <cellStyle name="Normal 4 4 2 2 2 2 2 3" xfId="6000" xr:uid="{DEDAE3F3-4EC0-4C0D-8342-9BB05FED2D0D}"/>
    <cellStyle name="Normal 4 4 2 2 2 2 2 4" xfId="1698" xr:uid="{ADEEB42A-A764-4D83-989F-9F552F9060F8}"/>
    <cellStyle name="Normal 4 4 2 2 2 2 3" xfId="2111" xr:uid="{B99FFC6B-18CB-49DA-B0D8-1FF1E6E58213}"/>
    <cellStyle name="Normal 4 4 2 2 2 2 3 2" xfId="4340" xr:uid="{18657FFA-B988-41C8-B58E-35DCCCFCC677}"/>
    <cellStyle name="Normal 4 4 2 2 2 2 3 2 2" xfId="8558" xr:uid="{E202EA90-BFBE-4E2A-9394-42ACFB4B3D74}"/>
    <cellStyle name="Normal 4 4 2 2 2 2 3 3" xfId="6413" xr:uid="{7A3363E9-62EF-4869-9ED7-BED6255CCCDD}"/>
    <cellStyle name="Normal 4 4 2 2 2 2 4" xfId="2524" xr:uid="{45FF63AE-E887-4C1F-AFEC-CAA6773F4851}"/>
    <cellStyle name="Normal 4 4 2 2 2 2 4 2" xfId="4753" xr:uid="{A98D2607-37F1-4FB0-869C-A668AD329C71}"/>
    <cellStyle name="Normal 4 4 2 2 2 2 4 2 2" xfId="8971" xr:uid="{606DB350-FE62-4A6F-A2CA-9B0E5FB0046A}"/>
    <cellStyle name="Normal 4 4 2 2 2 2 4 3" xfId="6826" xr:uid="{1526B59E-D7E4-49A8-8B4D-3590EF6A1FDB}"/>
    <cellStyle name="Normal 4 4 2 2 2 2 5" xfId="2937" xr:uid="{880DE13C-1C9A-4EB9-80F4-A6834A9CBFA0}"/>
    <cellStyle name="Normal 4 4 2 2 2 2 5 2" xfId="5166" xr:uid="{AB5D2548-105D-4823-94DF-6E9452AF7C9E}"/>
    <cellStyle name="Normal 4 4 2 2 2 2 5 2 2" xfId="9384" xr:uid="{90899342-3ABB-4E3D-B19C-C790C6F5C4C7}"/>
    <cellStyle name="Normal 4 4 2 2 2 2 5 3" xfId="7239" xr:uid="{A343BADF-735E-4F75-9297-6811BFB366DF}"/>
    <cellStyle name="Normal 4 4 2 2 2 2 6" xfId="3373" xr:uid="{752F0547-BF87-4A45-909F-FAEC5AC7D550}"/>
    <cellStyle name="Normal 4 4 2 2 2 2 6 2" xfId="7652" xr:uid="{B944BBE5-2002-4EBA-9DF5-A6217EFCBC56}"/>
    <cellStyle name="Normal 4 4 2 2 2 2 7" xfId="5587" xr:uid="{6B9AB802-4964-4E96-B13B-E94E5D33CE1E}"/>
    <cellStyle name="Normal 4 4 2 2 2 2 8" xfId="1283" xr:uid="{1E74D527-BAAF-4519-9DF7-B93AD4FC52B8}"/>
    <cellStyle name="Normal 4 4 2 2 2 3" xfId="864" xr:uid="{00000000-0005-0000-0000-0000A1020000}"/>
    <cellStyle name="Normal 4 4 2 2 2 3 2" xfId="3926" xr:uid="{B0231E42-1ABE-4DAC-8579-1416634F8684}"/>
    <cellStyle name="Normal 4 4 2 2 2 3 2 2" xfId="8144" xr:uid="{6D6DA3C6-8953-4E57-906E-84E723B07D40}"/>
    <cellStyle name="Normal 4 4 2 2 2 3 3" xfId="5999" xr:uid="{0DB36F9A-1F34-4605-ABED-87090A9B89A9}"/>
    <cellStyle name="Normal 4 4 2 2 2 3 4" xfId="1697" xr:uid="{6913B40A-7F79-4C73-90F5-925357B255B9}"/>
    <cellStyle name="Normal 4 4 2 2 2 4" xfId="2110" xr:uid="{75C32BBD-FD95-4835-866B-9F14C2F34F71}"/>
    <cellStyle name="Normal 4 4 2 2 2 4 2" xfId="4339" xr:uid="{6165751B-44F8-4AF2-83AA-E8A447EC925A}"/>
    <cellStyle name="Normal 4 4 2 2 2 4 2 2" xfId="8557" xr:uid="{B686BA3E-7C95-4C82-973C-626285207DFC}"/>
    <cellStyle name="Normal 4 4 2 2 2 4 3" xfId="6412" xr:uid="{E98D7A2E-0D14-41D9-9E25-883CE90D87A3}"/>
    <cellStyle name="Normal 4 4 2 2 2 5" xfId="2523" xr:uid="{AA42C22E-9122-4FB4-A530-A6E6D23FEB40}"/>
    <cellStyle name="Normal 4 4 2 2 2 5 2" xfId="4752" xr:uid="{9F7662F3-D582-45A9-9A5E-D65B01380C37}"/>
    <cellStyle name="Normal 4 4 2 2 2 5 2 2" xfId="8970" xr:uid="{020F1DD3-1DF2-4568-9350-55F989194EA6}"/>
    <cellStyle name="Normal 4 4 2 2 2 5 3" xfId="6825" xr:uid="{F84B25D2-646F-4AD5-B0F6-FBD14E3A043A}"/>
    <cellStyle name="Normal 4 4 2 2 2 6" xfId="2936" xr:uid="{BDC1E0E9-5A54-4E8C-8B8F-E8B21DC5A664}"/>
    <cellStyle name="Normal 4 4 2 2 2 6 2" xfId="5165" xr:uid="{6281F3A2-16E2-45DD-8CE8-3A389CFBF6FC}"/>
    <cellStyle name="Normal 4 4 2 2 2 6 2 2" xfId="9383" xr:uid="{6A95BA4B-F6DF-47C5-B1AB-EAFAFB0B14EC}"/>
    <cellStyle name="Normal 4 4 2 2 2 6 3" xfId="7238" xr:uid="{7493EAB1-C122-41E1-B8FB-8595ADFBD417}"/>
    <cellStyle name="Normal 4 4 2 2 2 7" xfId="3372" xr:uid="{E81ED600-628F-4EEB-8F50-7051817326D7}"/>
    <cellStyle name="Normal 4 4 2 2 2 7 2" xfId="7651" xr:uid="{030AA688-1139-4B04-98FC-15517A690E94}"/>
    <cellStyle name="Normal 4 4 2 2 2 8" xfId="5586" xr:uid="{09AF0F1D-CC9D-4137-BD18-6840AE4F4475}"/>
    <cellStyle name="Normal 4 4 2 2 2 9" xfId="1282" xr:uid="{F7C9C594-E537-4E76-BF63-C1D679109585}"/>
    <cellStyle name="Normal 4 4 2 2 3" xfId="386" xr:uid="{00000000-0005-0000-0000-0000A2020000}"/>
    <cellStyle name="Normal 4 4 2 2 3 2" xfId="866" xr:uid="{00000000-0005-0000-0000-0000A3020000}"/>
    <cellStyle name="Normal 4 4 2 2 3 2 2" xfId="3928" xr:uid="{EA12B0EA-DEFB-4F18-8316-77069776EE7D}"/>
    <cellStyle name="Normal 4 4 2 2 3 2 2 2" xfId="8146" xr:uid="{E64CB564-0CF2-4CBF-BA75-4BBA33F469F9}"/>
    <cellStyle name="Normal 4 4 2 2 3 2 3" xfId="6001" xr:uid="{CDBD5015-5C43-4C6D-9CC3-65B019B55EFA}"/>
    <cellStyle name="Normal 4 4 2 2 3 2 4" xfId="1699" xr:uid="{B958BF0C-7C01-427F-8D3A-FED6C76CD13F}"/>
    <cellStyle name="Normal 4 4 2 2 3 3" xfId="2112" xr:uid="{54F0E70E-18FA-4600-94BD-F78B373C9510}"/>
    <cellStyle name="Normal 4 4 2 2 3 3 2" xfId="4341" xr:uid="{20F4FFB9-E92E-424C-A6E8-4F4783C675C7}"/>
    <cellStyle name="Normal 4 4 2 2 3 3 2 2" xfId="8559" xr:uid="{FB3983BC-7F51-4B84-BC2C-06F37D813B5F}"/>
    <cellStyle name="Normal 4 4 2 2 3 3 3" xfId="6414" xr:uid="{632C37C2-CD94-4C6F-97CA-44698DB0DCF7}"/>
    <cellStyle name="Normal 4 4 2 2 3 4" xfId="2525" xr:uid="{12BB734A-2CFA-4B65-BFC5-53243BC1E2F3}"/>
    <cellStyle name="Normal 4 4 2 2 3 4 2" xfId="4754" xr:uid="{FAB2D30F-A22E-4D71-B4B0-2FD03FECFAEB}"/>
    <cellStyle name="Normal 4 4 2 2 3 4 2 2" xfId="8972" xr:uid="{55E97E98-3C3C-4698-9350-21840AF8A61B}"/>
    <cellStyle name="Normal 4 4 2 2 3 4 3" xfId="6827" xr:uid="{32020B60-C41D-4250-97D8-908CB8194B86}"/>
    <cellStyle name="Normal 4 4 2 2 3 5" xfId="2938" xr:uid="{50B3E4A9-117D-4622-9F8A-CB5CE5A97221}"/>
    <cellStyle name="Normal 4 4 2 2 3 5 2" xfId="5167" xr:uid="{A1F74FB0-75F1-4A6C-AECB-B1A15B5BA0A7}"/>
    <cellStyle name="Normal 4 4 2 2 3 5 2 2" xfId="9385" xr:uid="{E0532A2C-1457-4766-8C6B-979B0FCD4A88}"/>
    <cellStyle name="Normal 4 4 2 2 3 5 3" xfId="7240" xr:uid="{2920AA2F-7E68-4A7C-A079-C6332F3C1224}"/>
    <cellStyle name="Normal 4 4 2 2 3 6" xfId="3374" xr:uid="{340B9800-1E98-478E-B904-01B2E314328A}"/>
    <cellStyle name="Normal 4 4 2 2 3 6 2" xfId="7653" xr:uid="{E326E43B-7776-43B1-B258-19210197D15B}"/>
    <cellStyle name="Normal 4 4 2 2 3 7" xfId="5588" xr:uid="{E2546684-273A-4E2C-9191-C863AC1897E3}"/>
    <cellStyle name="Normal 4 4 2 2 3 8" xfId="1284" xr:uid="{8DF86AC9-A01A-4B15-A57E-D4D40AD28734}"/>
    <cellStyle name="Normal 4 4 2 2 4" xfId="863" xr:uid="{00000000-0005-0000-0000-0000A4020000}"/>
    <cellStyle name="Normal 4 4 2 2 4 2" xfId="3925" xr:uid="{CECE8BAB-7263-470A-A9B8-111BCF69DB7C}"/>
    <cellStyle name="Normal 4 4 2 2 4 2 2" xfId="8143" xr:uid="{202F0F32-A9BD-439F-90F0-CA6A647E0FB4}"/>
    <cellStyle name="Normal 4 4 2 2 4 3" xfId="5998" xr:uid="{E71363A5-3C9B-4768-A02F-7B8C1B498B34}"/>
    <cellStyle name="Normal 4 4 2 2 4 4" xfId="1696" xr:uid="{AE387024-ECBF-4810-BB85-67A7277C1C7F}"/>
    <cellStyle name="Normal 4 4 2 2 5" xfId="2109" xr:uid="{AE439470-736F-4A12-A1B4-721499E804EB}"/>
    <cellStyle name="Normal 4 4 2 2 5 2" xfId="4338" xr:uid="{E519E7E9-E30C-4977-B741-16BC6ADD71C8}"/>
    <cellStyle name="Normal 4 4 2 2 5 2 2" xfId="8556" xr:uid="{6EE8CAF5-7C15-4918-AF6B-383731E6F2C1}"/>
    <cellStyle name="Normal 4 4 2 2 5 3" xfId="6411" xr:uid="{9BE0CE44-C392-42E2-8CEC-8ED1DC37F317}"/>
    <cellStyle name="Normal 4 4 2 2 6" xfId="2522" xr:uid="{A15AFEB9-F75E-4D0C-A20E-A57AE55C06F0}"/>
    <cellStyle name="Normal 4 4 2 2 6 2" xfId="4751" xr:uid="{A352B801-5A2B-42A5-9867-1969BD486B44}"/>
    <cellStyle name="Normal 4 4 2 2 6 2 2" xfId="8969" xr:uid="{6F0336C1-30F1-4E6A-B712-923FCECF00E9}"/>
    <cellStyle name="Normal 4 4 2 2 6 3" xfId="6824" xr:uid="{93678183-9A13-47B7-8A69-631C3E1D884F}"/>
    <cellStyle name="Normal 4 4 2 2 7" xfId="2935" xr:uid="{DDD34106-88E6-4836-964F-5118AC698803}"/>
    <cellStyle name="Normal 4 4 2 2 7 2" xfId="5164" xr:uid="{FAE9B043-793F-4576-985C-67B296F87617}"/>
    <cellStyle name="Normal 4 4 2 2 7 2 2" xfId="9382" xr:uid="{28CA7DC4-987D-48EC-804D-75A54ED12469}"/>
    <cellStyle name="Normal 4 4 2 2 7 3" xfId="7237" xr:uid="{42CFB40F-C7E6-40CB-AEF4-94C227EA5058}"/>
    <cellStyle name="Normal 4 4 2 2 8" xfId="3371" xr:uid="{4BEF2B5E-C310-4500-954F-5A5D84F1F458}"/>
    <cellStyle name="Normal 4 4 2 2 8 2" xfId="7650" xr:uid="{54A21DEE-3B2C-4EE0-8946-FAB279A95CBB}"/>
    <cellStyle name="Normal 4 4 2 2 9" xfId="5585" xr:uid="{DF1F73F5-752B-470A-B01B-B9D3CE1E9831}"/>
    <cellStyle name="Normal 4 4 2 3" xfId="387" xr:uid="{00000000-0005-0000-0000-0000A5020000}"/>
    <cellStyle name="Normal 4 4 2 3 2" xfId="388" xr:uid="{00000000-0005-0000-0000-0000A6020000}"/>
    <cellStyle name="Normal 4 4 2 3 2 2" xfId="868" xr:uid="{00000000-0005-0000-0000-0000A7020000}"/>
    <cellStyle name="Normal 4 4 2 3 2 2 2" xfId="3930" xr:uid="{1A3140D5-7A6C-4124-92EE-A790D03E2CD2}"/>
    <cellStyle name="Normal 4 4 2 3 2 2 2 2" xfId="8148" xr:uid="{CFA6E015-2FF0-42DE-977C-4CD762CE27B6}"/>
    <cellStyle name="Normal 4 4 2 3 2 2 3" xfId="6003" xr:uid="{BDAB1060-73A2-438F-8811-C31D7C02AEBF}"/>
    <cellStyle name="Normal 4 4 2 3 2 2 4" xfId="1701" xr:uid="{D605F0D7-D255-4AD0-9CCE-72B2B45B3984}"/>
    <cellStyle name="Normal 4 4 2 3 2 3" xfId="2114" xr:uid="{389B47E9-16FB-4D3A-8C1D-88140288C7A4}"/>
    <cellStyle name="Normal 4 4 2 3 2 3 2" xfId="4343" xr:uid="{74261877-396D-4D78-9D81-B598F6C4CC9A}"/>
    <cellStyle name="Normal 4 4 2 3 2 3 2 2" xfId="8561" xr:uid="{54CCA0DF-1781-49E8-826A-4742582B9DD3}"/>
    <cellStyle name="Normal 4 4 2 3 2 3 3" xfId="6416" xr:uid="{F13EA682-153E-4E68-8D93-D068CB43534E}"/>
    <cellStyle name="Normal 4 4 2 3 2 4" xfId="2527" xr:uid="{A78A1491-8787-4BEE-9EAB-BA9BEF21547B}"/>
    <cellStyle name="Normal 4 4 2 3 2 4 2" xfId="4756" xr:uid="{062C5620-6F86-44E7-87A1-8FA50C283693}"/>
    <cellStyle name="Normal 4 4 2 3 2 4 2 2" xfId="8974" xr:uid="{15CA37D5-0CD9-4A02-B57A-AF5ADFA5C1BC}"/>
    <cellStyle name="Normal 4 4 2 3 2 4 3" xfId="6829" xr:uid="{2442EDEA-12B5-42D0-9612-888A20E3B17F}"/>
    <cellStyle name="Normal 4 4 2 3 2 5" xfId="2940" xr:uid="{698DCE08-A2BC-474D-9331-64F9DE5232D2}"/>
    <cellStyle name="Normal 4 4 2 3 2 5 2" xfId="5169" xr:uid="{3D9EF566-76F8-4F87-86DC-68BB4D393FB1}"/>
    <cellStyle name="Normal 4 4 2 3 2 5 2 2" xfId="9387" xr:uid="{346787FE-13E0-4258-8EBD-37010437A77F}"/>
    <cellStyle name="Normal 4 4 2 3 2 5 3" xfId="7242" xr:uid="{DBF2473F-2D65-4A54-9288-6D037488F36B}"/>
    <cellStyle name="Normal 4 4 2 3 2 6" xfId="3376" xr:uid="{2B6139CE-A752-4F76-861D-151A81FE54FF}"/>
    <cellStyle name="Normal 4 4 2 3 2 6 2" xfId="7655" xr:uid="{36D27D41-F1E4-48A9-9DD8-CB61F1EBF963}"/>
    <cellStyle name="Normal 4 4 2 3 2 7" xfId="5590" xr:uid="{0BE95C9B-29FC-4B2F-B4FD-9F3E2CD88BCB}"/>
    <cellStyle name="Normal 4 4 2 3 2 8" xfId="1286" xr:uid="{D080B2A4-83DD-406A-882B-27A4B7931CC8}"/>
    <cellStyle name="Normal 4 4 2 3 3" xfId="867" xr:uid="{00000000-0005-0000-0000-0000A8020000}"/>
    <cellStyle name="Normal 4 4 2 3 3 2" xfId="3929" xr:uid="{D899E7D8-2201-491F-AEDB-F1126705F78B}"/>
    <cellStyle name="Normal 4 4 2 3 3 2 2" xfId="8147" xr:uid="{C78ACE6A-BAFF-4453-9F11-119BC94B764F}"/>
    <cellStyle name="Normal 4 4 2 3 3 3" xfId="6002" xr:uid="{0DC3674D-DC3E-4714-A59B-686883F34E42}"/>
    <cellStyle name="Normal 4 4 2 3 3 4" xfId="1700" xr:uid="{AD3E9EAC-868E-4DE8-8D31-7E5770F06410}"/>
    <cellStyle name="Normal 4 4 2 3 4" xfId="2113" xr:uid="{8257003A-AB10-4A5A-8E21-5593CBA3405D}"/>
    <cellStyle name="Normal 4 4 2 3 4 2" xfId="4342" xr:uid="{B303FAC5-491D-42C6-9801-708703D57E56}"/>
    <cellStyle name="Normal 4 4 2 3 4 2 2" xfId="8560" xr:uid="{7160941F-1BBB-4EF9-A540-BECDAE3DF280}"/>
    <cellStyle name="Normal 4 4 2 3 4 3" xfId="6415" xr:uid="{1282126F-8BEB-4560-9CDF-16C7D3B7D233}"/>
    <cellStyle name="Normal 4 4 2 3 5" xfId="2526" xr:uid="{487545EF-B304-4C0D-A444-9F545E4D9AE1}"/>
    <cellStyle name="Normal 4 4 2 3 5 2" xfId="4755" xr:uid="{AD22D5C6-687F-4E52-9674-1E219153F320}"/>
    <cellStyle name="Normal 4 4 2 3 5 2 2" xfId="8973" xr:uid="{185B560A-A125-4ECE-844E-8F954F03E674}"/>
    <cellStyle name="Normal 4 4 2 3 5 3" xfId="6828" xr:uid="{F2D453B1-45AB-4691-A546-238B50A2EEC1}"/>
    <cellStyle name="Normal 4 4 2 3 6" xfId="2939" xr:uid="{11880770-4E5A-4EAA-8E70-76170E3E0697}"/>
    <cellStyle name="Normal 4 4 2 3 6 2" xfId="5168" xr:uid="{FA744E18-FCC4-4E72-86A0-AF5AF502A464}"/>
    <cellStyle name="Normal 4 4 2 3 6 2 2" xfId="9386" xr:uid="{7D44E7A9-3108-48C6-B9D1-FCF24259D937}"/>
    <cellStyle name="Normal 4 4 2 3 6 3" xfId="7241" xr:uid="{EDA7F70F-D3DC-4E65-A28D-5ACBA99A64C1}"/>
    <cellStyle name="Normal 4 4 2 3 7" xfId="3375" xr:uid="{F59F9FA4-E137-4960-AF5E-E49E0E1A87E6}"/>
    <cellStyle name="Normal 4 4 2 3 7 2" xfId="7654" xr:uid="{2A4B4B18-F177-4C55-A19F-639ED679FC95}"/>
    <cellStyle name="Normal 4 4 2 3 8" xfId="5589" xr:uid="{56846995-DE33-4ABB-A741-6A4105FAB8DF}"/>
    <cellStyle name="Normal 4 4 2 3 9" xfId="1285" xr:uid="{F3CA32FF-F178-46F5-8094-A745CDB3B587}"/>
    <cellStyle name="Normal 4 4 2 4" xfId="389" xr:uid="{00000000-0005-0000-0000-0000A9020000}"/>
    <cellStyle name="Normal 4 4 2 4 2" xfId="869" xr:uid="{00000000-0005-0000-0000-0000AA020000}"/>
    <cellStyle name="Normal 4 4 2 4 2 2" xfId="3931" xr:uid="{CA314F6D-96BB-43A4-A6C7-FAC344BDC815}"/>
    <cellStyle name="Normal 4 4 2 4 2 2 2" xfId="8149" xr:uid="{941C2F4A-D9D7-4FD8-BA61-C6F45663FD54}"/>
    <cellStyle name="Normal 4 4 2 4 2 3" xfId="6004" xr:uid="{91E5605F-EA0D-479D-9643-84E48AF1E62A}"/>
    <cellStyle name="Normal 4 4 2 4 2 4" xfId="1702" xr:uid="{F3EDB1DA-0656-457E-961B-E6173EAA3B8F}"/>
    <cellStyle name="Normal 4 4 2 4 3" xfId="2115" xr:uid="{5C0D9727-9EB5-4FFF-AFA3-DCB9E194408C}"/>
    <cellStyle name="Normal 4 4 2 4 3 2" xfId="4344" xr:uid="{E99D16C4-CA17-4F63-B2CC-39A734F9D3DC}"/>
    <cellStyle name="Normal 4 4 2 4 3 2 2" xfId="8562" xr:uid="{7038ACAF-DF78-43DF-A4D0-1F0CDD58B585}"/>
    <cellStyle name="Normal 4 4 2 4 3 3" xfId="6417" xr:uid="{9260940E-5514-4245-A6B5-2410AC639BE9}"/>
    <cellStyle name="Normal 4 4 2 4 4" xfId="2528" xr:uid="{7A8DB845-0D43-43BB-9B7A-75E21CD09861}"/>
    <cellStyle name="Normal 4 4 2 4 4 2" xfId="4757" xr:uid="{D66B4327-DA9C-4563-8295-6210C6F5744A}"/>
    <cellStyle name="Normal 4 4 2 4 4 2 2" xfId="8975" xr:uid="{A95CB9F7-A46A-4E3A-8449-C9B13E54E2F6}"/>
    <cellStyle name="Normal 4 4 2 4 4 3" xfId="6830" xr:uid="{75B2A7C8-24B1-47BD-A391-61F676FAAE79}"/>
    <cellStyle name="Normal 4 4 2 4 5" xfId="2941" xr:uid="{B7151B2E-DF60-4D84-AEF5-45600E922EE0}"/>
    <cellStyle name="Normal 4 4 2 4 5 2" xfId="5170" xr:uid="{A4827ACC-2DC8-49A2-9F29-C68D6E0E53A2}"/>
    <cellStyle name="Normal 4 4 2 4 5 2 2" xfId="9388" xr:uid="{34B7898B-4AC3-494F-84C2-B3FEE47EAC45}"/>
    <cellStyle name="Normal 4 4 2 4 5 3" xfId="7243" xr:uid="{DDCEE04A-BDC1-41FD-8D5B-92034AB9DD15}"/>
    <cellStyle name="Normal 4 4 2 4 6" xfId="3377" xr:uid="{7193A906-9356-4427-A6FC-8EB85BC090EB}"/>
    <cellStyle name="Normal 4 4 2 4 6 2" xfId="7656" xr:uid="{604F98B6-C05F-4C78-884E-F3B53A277F92}"/>
    <cellStyle name="Normal 4 4 2 4 7" xfId="5591" xr:uid="{C5985879-68C0-496E-956E-9AE299C10509}"/>
    <cellStyle name="Normal 4 4 2 4 8" xfId="1287" xr:uid="{CC3F7777-EB6C-4669-B19C-CF7B5A79EFBE}"/>
    <cellStyle name="Normal 4 4 2 5" xfId="862" xr:uid="{00000000-0005-0000-0000-0000AB020000}"/>
    <cellStyle name="Normal 4 4 2 5 2" xfId="3924" xr:uid="{D2DB1ACD-0775-4B5F-9BEB-7C6B645726BE}"/>
    <cellStyle name="Normal 4 4 2 5 2 2" xfId="8142" xr:uid="{82EB9B3C-179A-4C3F-999E-301032F0BDB0}"/>
    <cellStyle name="Normal 4 4 2 5 3" xfId="5997" xr:uid="{8EBB4E16-9BB0-433D-A356-5ADFF1CF8183}"/>
    <cellStyle name="Normal 4 4 2 5 4" xfId="1695" xr:uid="{247BE9A6-280C-45A9-99BD-4135F47B3129}"/>
    <cellStyle name="Normal 4 4 2 6" xfId="2108" xr:uid="{8454623A-6527-4A87-A3CB-81789E3C235A}"/>
    <cellStyle name="Normal 4 4 2 6 2" xfId="4337" xr:uid="{B8BD8CE5-770F-4E24-AB04-A89D1EAC20F2}"/>
    <cellStyle name="Normal 4 4 2 6 2 2" xfId="8555" xr:uid="{5E704F50-E0D3-46F4-B64D-443C8B56182F}"/>
    <cellStyle name="Normal 4 4 2 6 3" xfId="6410" xr:uid="{F0AF6B47-7C7A-42AD-AF56-B47603E41491}"/>
    <cellStyle name="Normal 4 4 2 7" xfId="2521" xr:uid="{A95B9573-9AF6-4472-9CD6-4E566ABC83AA}"/>
    <cellStyle name="Normal 4 4 2 7 2" xfId="4750" xr:uid="{25F261E7-02B5-469F-868B-99B3BCAE952A}"/>
    <cellStyle name="Normal 4 4 2 7 2 2" xfId="8968" xr:uid="{893478AD-00DD-4D58-B2F9-03E2F7FB4561}"/>
    <cellStyle name="Normal 4 4 2 7 3" xfId="6823" xr:uid="{C6ADC89C-5408-4019-8F84-90AEC94740D3}"/>
    <cellStyle name="Normal 4 4 2 8" xfId="2934" xr:uid="{07C5BA68-FB85-484C-9B66-82665837582F}"/>
    <cellStyle name="Normal 4 4 2 8 2" xfId="5163" xr:uid="{7A90FBFE-04D6-4DBE-B264-427D63214792}"/>
    <cellStyle name="Normal 4 4 2 8 2 2" xfId="9381" xr:uid="{66D0388F-B290-4921-A80B-987103F5AB98}"/>
    <cellStyle name="Normal 4 4 2 8 3" xfId="7236" xr:uid="{DBFD5177-54E8-409D-B1B4-5CBB56362258}"/>
    <cellStyle name="Normal 4 4 2 9" xfId="3370" xr:uid="{D8623800-FDF0-41F6-A518-8524C9BB2EDE}"/>
    <cellStyle name="Normal 4 4 2 9 2" xfId="7649" xr:uid="{1A17986B-B1E4-4F85-8442-BBC992F530F3}"/>
    <cellStyle name="Normal 4 4 3" xfId="390" xr:uid="{00000000-0005-0000-0000-0000AC020000}"/>
    <cellStyle name="Normal 4 4 3 10" xfId="1288" xr:uid="{0D86E8F2-36B5-4BE1-84C2-1421E75E6035}"/>
    <cellStyle name="Normal 4 4 3 2" xfId="391" xr:uid="{00000000-0005-0000-0000-0000AD020000}"/>
    <cellStyle name="Normal 4 4 3 2 2" xfId="392" xr:uid="{00000000-0005-0000-0000-0000AE020000}"/>
    <cellStyle name="Normal 4 4 3 2 2 2" xfId="872" xr:uid="{00000000-0005-0000-0000-0000AF020000}"/>
    <cellStyle name="Normal 4 4 3 2 2 2 2" xfId="3934" xr:uid="{AE186CF6-6DC6-4E8A-8514-11D44FE26E64}"/>
    <cellStyle name="Normal 4 4 3 2 2 2 2 2" xfId="8152" xr:uid="{A20CA33C-CBB7-44FE-8DD1-CC2CF5748370}"/>
    <cellStyle name="Normal 4 4 3 2 2 2 3" xfId="6007" xr:uid="{14A3FD11-76ED-4F6E-9DF5-305EE41F692B}"/>
    <cellStyle name="Normal 4 4 3 2 2 2 4" xfId="1705" xr:uid="{3AB5030D-8237-460F-805C-81FA48F27B37}"/>
    <cellStyle name="Normal 4 4 3 2 2 3" xfId="2118" xr:uid="{D05A3C72-CAD1-444C-9F5C-EA60049766AF}"/>
    <cellStyle name="Normal 4 4 3 2 2 3 2" xfId="4347" xr:uid="{D61304D1-3683-4761-BE8F-97C670A602A6}"/>
    <cellStyle name="Normal 4 4 3 2 2 3 2 2" xfId="8565" xr:uid="{FDAC6F71-7193-4388-AC42-54A2815F8820}"/>
    <cellStyle name="Normal 4 4 3 2 2 3 3" xfId="6420" xr:uid="{A8EEDEF7-1676-421E-9FF2-A956FCD8BAD9}"/>
    <cellStyle name="Normal 4 4 3 2 2 4" xfId="2531" xr:uid="{2FB74F05-7BE7-467E-85A2-E3D73C93A8D1}"/>
    <cellStyle name="Normal 4 4 3 2 2 4 2" xfId="4760" xr:uid="{293BDF77-6183-4CA0-913B-CEE1B54FC7E4}"/>
    <cellStyle name="Normal 4 4 3 2 2 4 2 2" xfId="8978" xr:uid="{1335351B-AAF5-4854-B59A-03EA264DC494}"/>
    <cellStyle name="Normal 4 4 3 2 2 4 3" xfId="6833" xr:uid="{4651ABD2-1D07-444E-B879-95989AD42EF5}"/>
    <cellStyle name="Normal 4 4 3 2 2 5" xfId="2944" xr:uid="{EE2A4C32-1885-4C1E-8020-E4A913B0C78D}"/>
    <cellStyle name="Normal 4 4 3 2 2 5 2" xfId="5173" xr:uid="{57510646-59DB-4854-8FA2-50B005BED900}"/>
    <cellStyle name="Normal 4 4 3 2 2 5 2 2" xfId="9391" xr:uid="{3A58109D-A34E-491C-BB16-690813D10FC1}"/>
    <cellStyle name="Normal 4 4 3 2 2 5 3" xfId="7246" xr:uid="{C3AE71D3-EAF2-4E3D-B8EA-7D6C9E303489}"/>
    <cellStyle name="Normal 4 4 3 2 2 6" xfId="3380" xr:uid="{89BA2E26-D4D1-44B9-AD37-4E6513512C6D}"/>
    <cellStyle name="Normal 4 4 3 2 2 6 2" xfId="7659" xr:uid="{F69D7BCC-A257-4CAF-9943-A9EF561C1FC8}"/>
    <cellStyle name="Normal 4 4 3 2 2 7" xfId="5594" xr:uid="{C988B366-9D2B-4C98-BB22-B8F38A70EB79}"/>
    <cellStyle name="Normal 4 4 3 2 2 8" xfId="1290" xr:uid="{B0774144-E15A-49C4-866B-B0345E5E4AA5}"/>
    <cellStyle name="Normal 4 4 3 2 3" xfId="871" xr:uid="{00000000-0005-0000-0000-0000B0020000}"/>
    <cellStyle name="Normal 4 4 3 2 3 2" xfId="3933" xr:uid="{F75E5E36-B6BE-4AD6-BF89-7DC416A1FC8C}"/>
    <cellStyle name="Normal 4 4 3 2 3 2 2" xfId="8151" xr:uid="{0A2CD4F4-8AB7-4781-A73A-233D7BB2E181}"/>
    <cellStyle name="Normal 4 4 3 2 3 3" xfId="6006" xr:uid="{747B1628-8E6C-4F2D-83A3-FBE8D1FF2040}"/>
    <cellStyle name="Normal 4 4 3 2 3 4" xfId="1704" xr:uid="{AD6EA021-2264-438B-903A-CAAE1819B019}"/>
    <cellStyle name="Normal 4 4 3 2 4" xfId="2117" xr:uid="{33E391CD-7CBA-4E22-9693-0290EC6D0254}"/>
    <cellStyle name="Normal 4 4 3 2 4 2" xfId="4346" xr:uid="{D5B083D6-C86F-4FB8-9823-BA2619B707C4}"/>
    <cellStyle name="Normal 4 4 3 2 4 2 2" xfId="8564" xr:uid="{E3AC78FD-C1F1-40F7-B303-3B94ADCB4415}"/>
    <cellStyle name="Normal 4 4 3 2 4 3" xfId="6419" xr:uid="{4FDFB656-3FDE-4E17-A03F-F3EE011B262C}"/>
    <cellStyle name="Normal 4 4 3 2 5" xfId="2530" xr:uid="{48262C46-E6BF-4B15-B580-3A35538A459D}"/>
    <cellStyle name="Normal 4 4 3 2 5 2" xfId="4759" xr:uid="{2D55DDCA-6232-4EB5-B417-B632B6456146}"/>
    <cellStyle name="Normal 4 4 3 2 5 2 2" xfId="8977" xr:uid="{97004F21-60F3-4C61-86EF-C6316DF9EEB5}"/>
    <cellStyle name="Normal 4 4 3 2 5 3" xfId="6832" xr:uid="{7E02F16D-B366-4053-AA81-1C1EFD34CCAA}"/>
    <cellStyle name="Normal 4 4 3 2 6" xfId="2943" xr:uid="{9813D22F-C878-401F-B7CF-C724272B1C3B}"/>
    <cellStyle name="Normal 4 4 3 2 6 2" xfId="5172" xr:uid="{6DC06EDB-B90E-4468-B266-14245D598261}"/>
    <cellStyle name="Normal 4 4 3 2 6 2 2" xfId="9390" xr:uid="{C2367A89-C168-4AB8-82F3-1DB91E43E07E}"/>
    <cellStyle name="Normal 4 4 3 2 6 3" xfId="7245" xr:uid="{1A6E6A8F-21BD-48E9-9678-12875E2EBA7D}"/>
    <cellStyle name="Normal 4 4 3 2 7" xfId="3379" xr:uid="{AB44B2A9-BB5D-409D-8457-8B230FDCA503}"/>
    <cellStyle name="Normal 4 4 3 2 7 2" xfId="7658" xr:uid="{7659A5F3-7E09-454A-AB2F-2A23D67E1103}"/>
    <cellStyle name="Normal 4 4 3 2 8" xfId="5593" xr:uid="{5C0CF991-425B-434B-A15D-33441108E563}"/>
    <cellStyle name="Normal 4 4 3 2 9" xfId="1289" xr:uid="{EA52AB44-0F5C-4316-A8E7-76D031BF18D7}"/>
    <cellStyle name="Normal 4 4 3 3" xfId="393" xr:uid="{00000000-0005-0000-0000-0000B1020000}"/>
    <cellStyle name="Normal 4 4 3 3 2" xfId="873" xr:uid="{00000000-0005-0000-0000-0000B2020000}"/>
    <cellStyle name="Normal 4 4 3 3 2 2" xfId="3935" xr:uid="{771DACD5-AF4B-4602-BA68-C28B2339EEB4}"/>
    <cellStyle name="Normal 4 4 3 3 2 2 2" xfId="8153" xr:uid="{4FED318B-FA62-4F7C-9CD1-5840869702B3}"/>
    <cellStyle name="Normal 4 4 3 3 2 3" xfId="6008" xr:uid="{BA66FC3D-4FC1-41A9-B373-EA1F7F0874AC}"/>
    <cellStyle name="Normal 4 4 3 3 2 4" xfId="1706" xr:uid="{A9C31EDF-76D7-422E-85BE-2A126F33B906}"/>
    <cellStyle name="Normal 4 4 3 3 3" xfId="2119" xr:uid="{A5AE0BCF-01D0-4FE8-919D-501AB45F0CBF}"/>
    <cellStyle name="Normal 4 4 3 3 3 2" xfId="4348" xr:uid="{D64B62FD-45E9-48F7-A840-CC80851B5202}"/>
    <cellStyle name="Normal 4 4 3 3 3 2 2" xfId="8566" xr:uid="{629A3FCC-BBA0-4ECA-B9B6-E4ACEC7FEE5A}"/>
    <cellStyle name="Normal 4 4 3 3 3 3" xfId="6421" xr:uid="{DDAACBB2-06CB-4096-8904-13A9B77A5F3C}"/>
    <cellStyle name="Normal 4 4 3 3 4" xfId="2532" xr:uid="{E351E1EE-9076-41D8-A596-A14B331403BA}"/>
    <cellStyle name="Normal 4 4 3 3 4 2" xfId="4761" xr:uid="{C77DFA14-1433-4402-8CA8-A4EB9B82B554}"/>
    <cellStyle name="Normal 4 4 3 3 4 2 2" xfId="8979" xr:uid="{578B0C18-97D5-4EBB-8E5A-FEB9329DB86D}"/>
    <cellStyle name="Normal 4 4 3 3 4 3" xfId="6834" xr:uid="{8AA5C4CA-7604-426B-B37E-D3A2896A805D}"/>
    <cellStyle name="Normal 4 4 3 3 5" xfId="2945" xr:uid="{23306AE7-8A82-47AB-8612-DDE688E9651B}"/>
    <cellStyle name="Normal 4 4 3 3 5 2" xfId="5174" xr:uid="{CB9921C8-3EA2-4D47-88EA-BF93F7A14934}"/>
    <cellStyle name="Normal 4 4 3 3 5 2 2" xfId="9392" xr:uid="{5EBE80A1-F579-4B6D-AFE5-64ED40C60F8B}"/>
    <cellStyle name="Normal 4 4 3 3 5 3" xfId="7247" xr:uid="{B47F08FB-3D1C-4F74-82DC-1035347EF524}"/>
    <cellStyle name="Normal 4 4 3 3 6" xfId="3381" xr:uid="{F95D2BA8-3B2C-4E91-8178-0A5121070128}"/>
    <cellStyle name="Normal 4 4 3 3 6 2" xfId="7660" xr:uid="{E02FF474-CE32-42AA-A0ED-B8D9953DC1A6}"/>
    <cellStyle name="Normal 4 4 3 3 7" xfId="5595" xr:uid="{BE431F27-ACD2-4C10-8AAC-AA190809C772}"/>
    <cellStyle name="Normal 4 4 3 3 8" xfId="1291" xr:uid="{9064F506-35A1-4772-AB8E-B2520440E9B7}"/>
    <cellStyle name="Normal 4 4 3 4" xfId="870" xr:uid="{00000000-0005-0000-0000-0000B3020000}"/>
    <cellStyle name="Normal 4 4 3 4 2" xfId="3932" xr:uid="{F59FAF89-AFAF-40E6-96DC-FC4878EFBDEE}"/>
    <cellStyle name="Normal 4 4 3 4 2 2" xfId="8150" xr:uid="{BCBABB2D-D004-47A4-9893-95576C51F7FE}"/>
    <cellStyle name="Normal 4 4 3 4 3" xfId="6005" xr:uid="{64EF2569-30FC-4FD3-BD20-238DB02E7A58}"/>
    <cellStyle name="Normal 4 4 3 4 4" xfId="1703" xr:uid="{6A67C918-9992-4CAF-BD5A-726DF5D8C48B}"/>
    <cellStyle name="Normal 4 4 3 5" xfId="2116" xr:uid="{6D064B20-9850-4478-B1B4-3B612DF980EC}"/>
    <cellStyle name="Normal 4 4 3 5 2" xfId="4345" xr:uid="{4A41EAAD-51A3-4AF3-AB7A-1A5484BC6E60}"/>
    <cellStyle name="Normal 4 4 3 5 2 2" xfId="8563" xr:uid="{2721BDA5-2E60-4DC9-A863-547CFCA13399}"/>
    <cellStyle name="Normal 4 4 3 5 3" xfId="6418" xr:uid="{24EFC25E-4564-479E-81CD-EB16C34EDDDD}"/>
    <cellStyle name="Normal 4 4 3 6" xfId="2529" xr:uid="{F6217846-2AA7-419C-86A2-26FCB2D26ED0}"/>
    <cellStyle name="Normal 4 4 3 6 2" xfId="4758" xr:uid="{FAEA758C-A713-41F4-8F7A-DE5E8DA3AA8D}"/>
    <cellStyle name="Normal 4 4 3 6 2 2" xfId="8976" xr:uid="{E0776386-52C7-4DBD-A8E1-459F1FD6240C}"/>
    <cellStyle name="Normal 4 4 3 6 3" xfId="6831" xr:uid="{8290D05F-923D-4E9E-8592-211AD03434A1}"/>
    <cellStyle name="Normal 4 4 3 7" xfId="2942" xr:uid="{09651E32-3FA1-45B4-9BF1-DE9168601091}"/>
    <cellStyle name="Normal 4 4 3 7 2" xfId="5171" xr:uid="{7A274B56-A8F7-45C0-ADC1-99F7B7422DC4}"/>
    <cellStyle name="Normal 4 4 3 7 2 2" xfId="9389" xr:uid="{3D668A19-7E53-4000-A0B8-9E7A725C0104}"/>
    <cellStyle name="Normal 4 4 3 7 3" xfId="7244" xr:uid="{0C15FAC2-0E14-46CB-829E-2A52B08996D1}"/>
    <cellStyle name="Normal 4 4 3 8" xfId="3378" xr:uid="{99B66808-6981-4CD1-BFDF-C5D5F81ACB38}"/>
    <cellStyle name="Normal 4 4 3 8 2" xfId="7657" xr:uid="{796CFE29-6BB2-450C-AEBD-BE838DC9064B}"/>
    <cellStyle name="Normal 4 4 3 9" xfId="5592" xr:uid="{D769AFA0-4A1E-4DD6-BD09-D5EF5EA305AF}"/>
    <cellStyle name="Normal 4 4 4" xfId="394" xr:uid="{00000000-0005-0000-0000-0000B4020000}"/>
    <cellStyle name="Normal 4 4 4 2" xfId="395" xr:uid="{00000000-0005-0000-0000-0000B5020000}"/>
    <cellStyle name="Normal 4 4 4 2 2" xfId="875" xr:uid="{00000000-0005-0000-0000-0000B6020000}"/>
    <cellStyle name="Normal 4 4 4 2 2 2" xfId="3937" xr:uid="{92D1D68A-325E-4EB9-A9D5-6C12F0CDD9A5}"/>
    <cellStyle name="Normal 4 4 4 2 2 2 2" xfId="8155" xr:uid="{DEC3720C-0C17-4A28-9917-E69C09B2F461}"/>
    <cellStyle name="Normal 4 4 4 2 2 3" xfId="6010" xr:uid="{775C62EE-A1A9-479B-9476-8AD33F8AE7C3}"/>
    <cellStyle name="Normal 4 4 4 2 2 4" xfId="1708" xr:uid="{0EC9E549-29D9-4830-B7D7-8BB6D310FA06}"/>
    <cellStyle name="Normal 4 4 4 2 3" xfId="2121" xr:uid="{9330A014-DE5A-4381-B92A-8AFD3282EDB2}"/>
    <cellStyle name="Normal 4 4 4 2 3 2" xfId="4350" xr:uid="{3CA8FFB2-6F1F-4B1F-A4B7-EE70A7AB5F12}"/>
    <cellStyle name="Normal 4 4 4 2 3 2 2" xfId="8568" xr:uid="{5A505D40-98CE-41E8-9ABB-8B2338137DD1}"/>
    <cellStyle name="Normal 4 4 4 2 3 3" xfId="6423" xr:uid="{B3103EFC-B2C9-4516-8ECE-7F6B7558A829}"/>
    <cellStyle name="Normal 4 4 4 2 4" xfId="2534" xr:uid="{02A5584D-E902-42F9-91F2-053E876A226D}"/>
    <cellStyle name="Normal 4 4 4 2 4 2" xfId="4763" xr:uid="{2693DE1C-6B13-4B8E-AA96-2EAC1A1A15A5}"/>
    <cellStyle name="Normal 4 4 4 2 4 2 2" xfId="8981" xr:uid="{6BD0E42D-A37E-4E55-82CA-3AC25CD4F606}"/>
    <cellStyle name="Normal 4 4 4 2 4 3" xfId="6836" xr:uid="{44586354-AAB7-4BEC-9799-8287E7968C9C}"/>
    <cellStyle name="Normal 4 4 4 2 5" xfId="2947" xr:uid="{B8FBCA09-A96D-454E-8B67-3C05B5813E66}"/>
    <cellStyle name="Normal 4 4 4 2 5 2" xfId="5176" xr:uid="{7D602BF8-075F-4CB1-8787-D03B7A4E42A5}"/>
    <cellStyle name="Normal 4 4 4 2 5 2 2" xfId="9394" xr:uid="{89CA8558-D365-4C38-B703-389D0A602D9A}"/>
    <cellStyle name="Normal 4 4 4 2 5 3" xfId="7249" xr:uid="{5D298A9D-ADD7-4C6F-A3B2-25F9AD005F24}"/>
    <cellStyle name="Normal 4 4 4 2 6" xfId="3383" xr:uid="{4201E5AC-F240-4003-9B50-9ECD22914B55}"/>
    <cellStyle name="Normal 4 4 4 2 6 2" xfId="7662" xr:uid="{C6DFED02-FDF9-4A53-978C-E9F93230A48B}"/>
    <cellStyle name="Normal 4 4 4 2 7" xfId="5597" xr:uid="{87BFCBE6-4FF2-4B53-8788-064006C1AF13}"/>
    <cellStyle name="Normal 4 4 4 2 8" xfId="1293" xr:uid="{3B41E2EC-D261-46E8-9D4A-B2415B3755C7}"/>
    <cellStyle name="Normal 4 4 4 3" xfId="874" xr:uid="{00000000-0005-0000-0000-0000B7020000}"/>
    <cellStyle name="Normal 4 4 4 3 2" xfId="3936" xr:uid="{A1570996-A155-4A89-BA92-A2CC8D4E0E84}"/>
    <cellStyle name="Normal 4 4 4 3 2 2" xfId="8154" xr:uid="{716B6965-D8A4-4E01-9663-3C65944EA32A}"/>
    <cellStyle name="Normal 4 4 4 3 3" xfId="6009" xr:uid="{B9E5FA5D-5DBE-4F2B-9038-4B52CF56EDBF}"/>
    <cellStyle name="Normal 4 4 4 3 4" xfId="1707" xr:uid="{53B10C35-5C80-4609-A272-8139A6B7A3A3}"/>
    <cellStyle name="Normal 4 4 4 4" xfId="2120" xr:uid="{0D819C86-B8E9-4E6C-A861-E7B722BC2B60}"/>
    <cellStyle name="Normal 4 4 4 4 2" xfId="4349" xr:uid="{9FDC5B48-8796-45A7-BA14-D88CC1A1F6C3}"/>
    <cellStyle name="Normal 4 4 4 4 2 2" xfId="8567" xr:uid="{CE82656C-ACB4-435D-A4CE-D0F04D7C2E56}"/>
    <cellStyle name="Normal 4 4 4 4 3" xfId="6422" xr:uid="{F127D6D2-BCE2-41A7-BD8C-AB8FA1785B3C}"/>
    <cellStyle name="Normal 4 4 4 5" xfId="2533" xr:uid="{8F5E3971-4815-49CD-9928-DD42B2D6F220}"/>
    <cellStyle name="Normal 4 4 4 5 2" xfId="4762" xr:uid="{60359588-0100-4064-8769-8A0192B9284A}"/>
    <cellStyle name="Normal 4 4 4 5 2 2" xfId="8980" xr:uid="{04FFC3F2-E2FD-4390-A7D2-BFFFEB1F915C}"/>
    <cellStyle name="Normal 4 4 4 5 3" xfId="6835" xr:uid="{5E91B2E2-2887-4DB3-8C89-8AA89BD789F2}"/>
    <cellStyle name="Normal 4 4 4 6" xfId="2946" xr:uid="{68BAEEAF-1E2A-4BEA-A752-BECDDEEBECEA}"/>
    <cellStyle name="Normal 4 4 4 6 2" xfId="5175" xr:uid="{BCD67DBC-8CD3-4A1E-8BBA-49E18AAD4439}"/>
    <cellStyle name="Normal 4 4 4 6 2 2" xfId="9393" xr:uid="{A9CDEFE5-726E-4B7D-972E-6CC2CFDF3C65}"/>
    <cellStyle name="Normal 4 4 4 6 3" xfId="7248" xr:uid="{AF2F9D62-0306-4722-891B-3B6D93DB25CC}"/>
    <cellStyle name="Normal 4 4 4 7" xfId="3382" xr:uid="{6EDE1B2F-C3CF-4BBD-B7D9-3B8119AD7150}"/>
    <cellStyle name="Normal 4 4 4 7 2" xfId="7661" xr:uid="{EE0D66E2-A898-444A-A928-2BFF590880A9}"/>
    <cellStyle name="Normal 4 4 4 8" xfId="5596" xr:uid="{85F08FC6-DD29-47E0-8E87-EC1A388F66D8}"/>
    <cellStyle name="Normal 4 4 4 9" xfId="1292" xr:uid="{7B87E8A9-4AA7-4437-A519-0828E3FE2117}"/>
    <cellStyle name="Normal 4 4 5" xfId="396" xr:uid="{00000000-0005-0000-0000-0000B8020000}"/>
    <cellStyle name="Normal 4 4 5 2" xfId="876" xr:uid="{00000000-0005-0000-0000-0000B9020000}"/>
    <cellStyle name="Normal 4 4 5 2 2" xfId="3938" xr:uid="{184BEBFD-E188-4371-A52B-A40178218FA4}"/>
    <cellStyle name="Normal 4 4 5 2 2 2" xfId="8156" xr:uid="{1DD0013F-88DD-418F-9161-7DD800FE37E9}"/>
    <cellStyle name="Normal 4 4 5 2 3" xfId="6011" xr:uid="{2DC3C188-8EB4-4ABD-B846-FA5CF3F96082}"/>
    <cellStyle name="Normal 4 4 5 2 4" xfId="1709" xr:uid="{F2668466-0434-4F31-BBAF-E7FC293BA54F}"/>
    <cellStyle name="Normal 4 4 5 3" xfId="2122" xr:uid="{E7DB026D-A499-47F4-B31B-B15D6BD60E7D}"/>
    <cellStyle name="Normal 4 4 5 3 2" xfId="4351" xr:uid="{EA71B8B3-D8D7-4C3A-92C5-B9FDD1A1B2E1}"/>
    <cellStyle name="Normal 4 4 5 3 2 2" xfId="8569" xr:uid="{03B7013C-C1AA-4F1C-8375-1E685A33BED4}"/>
    <cellStyle name="Normal 4 4 5 3 3" xfId="6424" xr:uid="{4B6806E5-2C9F-4525-86BF-4ED49BF17D79}"/>
    <cellStyle name="Normal 4 4 5 4" xfId="2535" xr:uid="{25FDE5C3-558C-4D5F-A548-3A288C31A9E9}"/>
    <cellStyle name="Normal 4 4 5 4 2" xfId="4764" xr:uid="{507957D5-3AA8-4E09-B3DC-90E8E61730C1}"/>
    <cellStyle name="Normal 4 4 5 4 2 2" xfId="8982" xr:uid="{20900C73-F2DF-464C-8EBA-15B7FBC2754F}"/>
    <cellStyle name="Normal 4 4 5 4 3" xfId="6837" xr:uid="{33F89B25-B4B3-496D-98C4-1C10B24484B7}"/>
    <cellStyle name="Normal 4 4 5 5" xfId="2948" xr:uid="{65F6C102-A15B-4A9A-9593-CD9F408FFF6D}"/>
    <cellStyle name="Normal 4 4 5 5 2" xfId="5177" xr:uid="{54C2D324-5904-4718-9052-EAA615364554}"/>
    <cellStyle name="Normal 4 4 5 5 2 2" xfId="9395" xr:uid="{3A451200-A60B-4D87-BC7C-CF60D4E9E890}"/>
    <cellStyle name="Normal 4 4 5 5 3" xfId="7250" xr:uid="{99572771-2EE7-47FF-BCEA-E7DCA5AB1CC9}"/>
    <cellStyle name="Normal 4 4 5 6" xfId="3384" xr:uid="{195E2419-25E1-4D3F-AEC0-9D9AF4E85BAB}"/>
    <cellStyle name="Normal 4 4 5 6 2" xfId="7663" xr:uid="{1899F1FA-A831-4E85-9826-374789D6F66A}"/>
    <cellStyle name="Normal 4 4 5 7" xfId="5598" xr:uid="{A19F8FDA-74D3-4159-8EDE-25A2EEB59CD4}"/>
    <cellStyle name="Normal 4 4 5 8" xfId="1294" xr:uid="{FD572201-635C-483A-AB3E-56C8544E38FD}"/>
    <cellStyle name="Normal 4 4 6" xfId="861" xr:uid="{00000000-0005-0000-0000-0000BA020000}"/>
    <cellStyle name="Normal 4 4 6 2" xfId="3923" xr:uid="{69C9C42B-CF12-488C-8C92-4F74E7D2BEA1}"/>
    <cellStyle name="Normal 4 4 6 2 2" xfId="8141" xr:uid="{86B7CD98-D2E7-42F4-A432-D71B4135F44F}"/>
    <cellStyle name="Normal 4 4 6 3" xfId="5996" xr:uid="{6CF61327-9005-44C3-B40B-D883BEAB5604}"/>
    <cellStyle name="Normal 4 4 6 4" xfId="1694" xr:uid="{A61A5F9C-6471-4291-A9C6-3D927B0F538C}"/>
    <cellStyle name="Normal 4 4 7" xfId="2107" xr:uid="{D2AC6383-83E4-4169-AC50-196ABF04C37F}"/>
    <cellStyle name="Normal 4 4 7 2" xfId="4336" xr:uid="{BA5305CF-BC73-432E-8407-E963D96DF5BB}"/>
    <cellStyle name="Normal 4 4 7 2 2" xfId="8554" xr:uid="{E22B3F9D-C7BA-4E95-8A3B-A5C5581E8660}"/>
    <cellStyle name="Normal 4 4 7 3" xfId="6409" xr:uid="{57C0B81C-0D2D-4C57-99FA-95CDAB06C5FD}"/>
    <cellStyle name="Normal 4 4 8" xfId="2520" xr:uid="{6E9D4ED2-8F31-4F8D-A014-172CEFECF1DD}"/>
    <cellStyle name="Normal 4 4 8 2" xfId="4749" xr:uid="{68935CDB-A4D2-4D52-A1BF-C4BB20DD4729}"/>
    <cellStyle name="Normal 4 4 8 2 2" xfId="8967" xr:uid="{7B8101BA-1DC5-49F0-ABDA-9C27E84EE983}"/>
    <cellStyle name="Normal 4 4 8 3" xfId="6822" xr:uid="{76C2A3C9-7FC6-425D-9CB7-A0D3AD5D2C5B}"/>
    <cellStyle name="Normal 4 4 9" xfId="2933" xr:uid="{68EB316E-31E0-4851-8694-58FFDFD31B45}"/>
    <cellStyle name="Normal 4 4 9 2" xfId="5162" xr:uid="{D070D101-87AF-4F9F-A3BF-0F626B1E9072}"/>
    <cellStyle name="Normal 4 4 9 2 2" xfId="9380" xr:uid="{A10C72C2-E566-4539-9F4C-6392BC59DF61}"/>
    <cellStyle name="Normal 4 4 9 3" xfId="7235" xr:uid="{50E755E6-AE7F-43EB-ADDC-B04526D1C7F2}"/>
    <cellStyle name="Normal 4 5" xfId="397" xr:uid="{00000000-0005-0000-0000-0000BB020000}"/>
    <cellStyle name="Normal 4 6" xfId="398" xr:uid="{00000000-0005-0000-0000-0000BC020000}"/>
    <cellStyle name="Normal 4 6 10" xfId="5599" xr:uid="{AFD11CC8-2BB4-4AAB-9EC6-E8E9E1907570}"/>
    <cellStyle name="Normal 4 6 11" xfId="1295" xr:uid="{13587DD0-D046-4B9A-B8FC-77D9231381D2}"/>
    <cellStyle name="Normal 4 6 2" xfId="399" xr:uid="{00000000-0005-0000-0000-0000BD020000}"/>
    <cellStyle name="Normal 4 6 2 10" xfId="1296" xr:uid="{B89678E8-42FD-405E-AD73-A7E3CB2E4CD8}"/>
    <cellStyle name="Normal 4 6 2 2" xfId="400" xr:uid="{00000000-0005-0000-0000-0000BE020000}"/>
    <cellStyle name="Normal 4 6 2 2 2" xfId="401" xr:uid="{00000000-0005-0000-0000-0000BF020000}"/>
    <cellStyle name="Normal 4 6 2 2 2 2" xfId="880" xr:uid="{00000000-0005-0000-0000-0000C0020000}"/>
    <cellStyle name="Normal 4 6 2 2 2 2 2" xfId="3942" xr:uid="{A138024A-EBFA-491B-BCD4-6E1E1BEB9C97}"/>
    <cellStyle name="Normal 4 6 2 2 2 2 2 2" xfId="8160" xr:uid="{86498FFF-A913-447E-94E7-1CAF84BA77FD}"/>
    <cellStyle name="Normal 4 6 2 2 2 2 3" xfId="6015" xr:uid="{7189D4E8-49A6-4BDB-8901-F446AE9A6162}"/>
    <cellStyle name="Normal 4 6 2 2 2 2 4" xfId="1713" xr:uid="{76208318-309C-4C0A-9DDB-E8F7B9A2F036}"/>
    <cellStyle name="Normal 4 6 2 2 2 3" xfId="2126" xr:uid="{4EAE39CF-7584-4FF1-8E68-11BF12A9E216}"/>
    <cellStyle name="Normal 4 6 2 2 2 3 2" xfId="4355" xr:uid="{E44C831D-E4F6-428D-84F1-74D807E52BEA}"/>
    <cellStyle name="Normal 4 6 2 2 2 3 2 2" xfId="8573" xr:uid="{8EAD3559-9E53-44D5-B411-53EEE105220A}"/>
    <cellStyle name="Normal 4 6 2 2 2 3 3" xfId="6428" xr:uid="{A2E3D2FB-2C3B-469F-AA64-5B8150D5AEA1}"/>
    <cellStyle name="Normal 4 6 2 2 2 4" xfId="2539" xr:uid="{25E636EE-1BF0-4AF9-967F-B87458C3643E}"/>
    <cellStyle name="Normal 4 6 2 2 2 4 2" xfId="4768" xr:uid="{10C7F68E-5B70-4643-89A9-AE5963178D83}"/>
    <cellStyle name="Normal 4 6 2 2 2 4 2 2" xfId="8986" xr:uid="{38C01AF2-A644-4397-897A-51B3D01F5355}"/>
    <cellStyle name="Normal 4 6 2 2 2 4 3" xfId="6841" xr:uid="{B4D53BDE-BD06-4F95-83AE-6EE93E57434C}"/>
    <cellStyle name="Normal 4 6 2 2 2 5" xfId="2952" xr:uid="{A803C041-3AC3-451E-837C-62A7BE7310C1}"/>
    <cellStyle name="Normal 4 6 2 2 2 5 2" xfId="5181" xr:uid="{D0A1BB1C-C514-4482-98DE-345096031B43}"/>
    <cellStyle name="Normal 4 6 2 2 2 5 2 2" xfId="9399" xr:uid="{512C2632-B29F-4392-B0FC-2B3D5725D441}"/>
    <cellStyle name="Normal 4 6 2 2 2 5 3" xfId="7254" xr:uid="{37FC7054-4AE2-4199-A599-83CA5F63CE25}"/>
    <cellStyle name="Normal 4 6 2 2 2 6" xfId="3388" xr:uid="{8220BF3E-5097-474B-9DD5-05CAB7E78C1B}"/>
    <cellStyle name="Normal 4 6 2 2 2 6 2" xfId="7667" xr:uid="{91BCFF97-7FD9-4012-916E-B2BA44549417}"/>
    <cellStyle name="Normal 4 6 2 2 2 7" xfId="5602" xr:uid="{72E11757-A6A7-452A-BD8D-548CC809A56C}"/>
    <cellStyle name="Normal 4 6 2 2 2 8" xfId="1298" xr:uid="{A9462D4C-A3A5-4AC6-A687-7DD86A98504F}"/>
    <cellStyle name="Normal 4 6 2 2 3" xfId="879" xr:uid="{00000000-0005-0000-0000-0000C1020000}"/>
    <cellStyle name="Normal 4 6 2 2 3 2" xfId="3941" xr:uid="{EF763004-A6F8-48EF-882B-98B3D131373F}"/>
    <cellStyle name="Normal 4 6 2 2 3 2 2" xfId="8159" xr:uid="{EAF282B4-0C9E-48E4-810C-B3CFC9F3BBFE}"/>
    <cellStyle name="Normal 4 6 2 2 3 3" xfId="6014" xr:uid="{E597D8D7-8DC3-4104-803C-4256ED0157E9}"/>
    <cellStyle name="Normal 4 6 2 2 3 4" xfId="1712" xr:uid="{EAB76F0A-1CFA-4AC0-8EC0-5837ECC3A27E}"/>
    <cellStyle name="Normal 4 6 2 2 4" xfId="2125" xr:uid="{15539964-B636-415F-8EBF-4DD8AED36F85}"/>
    <cellStyle name="Normal 4 6 2 2 4 2" xfId="4354" xr:uid="{657B3937-5D9F-4B58-8860-921338DBD21C}"/>
    <cellStyle name="Normal 4 6 2 2 4 2 2" xfId="8572" xr:uid="{6FE9B423-A96D-49E0-A780-2596F9A4DC36}"/>
    <cellStyle name="Normal 4 6 2 2 4 3" xfId="6427" xr:uid="{87814C8C-4253-4D8E-82A4-751E3EF842C4}"/>
    <cellStyle name="Normal 4 6 2 2 5" xfId="2538" xr:uid="{C6DC928B-8D40-4019-84C7-7EC3FE6A0336}"/>
    <cellStyle name="Normal 4 6 2 2 5 2" xfId="4767" xr:uid="{6AF5725C-FADF-407C-9D53-9A51BFA8BBAC}"/>
    <cellStyle name="Normal 4 6 2 2 5 2 2" xfId="8985" xr:uid="{F915161B-A05C-4275-B455-440BC6A0B038}"/>
    <cellStyle name="Normal 4 6 2 2 5 3" xfId="6840" xr:uid="{56DD7914-1DFE-4FDC-8EFD-43AB8C233041}"/>
    <cellStyle name="Normal 4 6 2 2 6" xfId="2951" xr:uid="{04FD95AB-C3A4-4D92-9262-825108920819}"/>
    <cellStyle name="Normal 4 6 2 2 6 2" xfId="5180" xr:uid="{EDD66C92-2515-4A3A-B246-D5B56F8E986A}"/>
    <cellStyle name="Normal 4 6 2 2 6 2 2" xfId="9398" xr:uid="{6BBEB5B1-41EF-48D6-958A-D8C9C1AEC411}"/>
    <cellStyle name="Normal 4 6 2 2 6 3" xfId="7253" xr:uid="{0C1642A7-367D-4329-8CCB-D034FC82B08F}"/>
    <cellStyle name="Normal 4 6 2 2 7" xfId="3387" xr:uid="{C572BA68-37A5-4DF2-BCE8-7B98056AFB37}"/>
    <cellStyle name="Normal 4 6 2 2 7 2" xfId="7666" xr:uid="{0764146C-444A-4E68-B6F4-CF6643E7C075}"/>
    <cellStyle name="Normal 4 6 2 2 8" xfId="5601" xr:uid="{D3484F47-5682-48D6-A69C-2F411077E12F}"/>
    <cellStyle name="Normal 4 6 2 2 9" xfId="1297" xr:uid="{B8E1F156-3771-49B0-9F6A-1C32495883AD}"/>
    <cellStyle name="Normal 4 6 2 3" xfId="402" xr:uid="{00000000-0005-0000-0000-0000C2020000}"/>
    <cellStyle name="Normal 4 6 2 3 2" xfId="881" xr:uid="{00000000-0005-0000-0000-0000C3020000}"/>
    <cellStyle name="Normal 4 6 2 3 2 2" xfId="3943" xr:uid="{DBF877A5-F131-4BD8-B16C-1866D61F53B3}"/>
    <cellStyle name="Normal 4 6 2 3 2 2 2" xfId="8161" xr:uid="{7D83EDEA-5D82-463D-BC0F-886177BFD622}"/>
    <cellStyle name="Normal 4 6 2 3 2 3" xfId="6016" xr:uid="{0B130B46-8578-4D28-A298-2FAD13667672}"/>
    <cellStyle name="Normal 4 6 2 3 2 4" xfId="1714" xr:uid="{61B94F16-970F-4BE9-BED3-8976135D2633}"/>
    <cellStyle name="Normal 4 6 2 3 3" xfId="2127" xr:uid="{8FC01467-859E-4BC6-9438-8F7970473AF9}"/>
    <cellStyle name="Normal 4 6 2 3 3 2" xfId="4356" xr:uid="{53ECF10A-3056-4AB5-8A7C-FABFD63A95C3}"/>
    <cellStyle name="Normal 4 6 2 3 3 2 2" xfId="8574" xr:uid="{1E159471-0A1C-4386-8F9D-A1EBD0C21762}"/>
    <cellStyle name="Normal 4 6 2 3 3 3" xfId="6429" xr:uid="{EFEB7BD2-D0A3-45E1-8E41-D540BB6EBD58}"/>
    <cellStyle name="Normal 4 6 2 3 4" xfId="2540" xr:uid="{B0308971-4DD4-475E-BD6F-73BA455FAADC}"/>
    <cellStyle name="Normal 4 6 2 3 4 2" xfId="4769" xr:uid="{2CB70BDA-667C-4639-949D-560CFBCD5945}"/>
    <cellStyle name="Normal 4 6 2 3 4 2 2" xfId="8987" xr:uid="{FF68E69E-B350-4E22-BE2B-CFDC444DE01F}"/>
    <cellStyle name="Normal 4 6 2 3 4 3" xfId="6842" xr:uid="{95320759-B3CD-42BB-9986-FBB2B93A4C87}"/>
    <cellStyle name="Normal 4 6 2 3 5" xfId="2953" xr:uid="{3EE92A69-4754-421F-BA6B-F35AB5CAEFF8}"/>
    <cellStyle name="Normal 4 6 2 3 5 2" xfId="5182" xr:uid="{586C7EC7-E69C-4BA5-88F3-3391412C8E27}"/>
    <cellStyle name="Normal 4 6 2 3 5 2 2" xfId="9400" xr:uid="{1735E73B-5F5A-4CAF-BF67-40300A06D1B6}"/>
    <cellStyle name="Normal 4 6 2 3 5 3" xfId="7255" xr:uid="{4A397CB1-EA2B-49CE-886E-C29414927339}"/>
    <cellStyle name="Normal 4 6 2 3 6" xfId="3389" xr:uid="{470A222C-810F-464E-9761-C09D0F6D5465}"/>
    <cellStyle name="Normal 4 6 2 3 6 2" xfId="7668" xr:uid="{890E3EB9-C488-4FF7-A341-3D40304F0C05}"/>
    <cellStyle name="Normal 4 6 2 3 7" xfId="5603" xr:uid="{B41F30F7-7ABD-482D-8BF0-54BF5BFFFD42}"/>
    <cellStyle name="Normal 4 6 2 3 8" xfId="1299" xr:uid="{2E981371-6684-4FF5-8076-8F2FB05DB39D}"/>
    <cellStyle name="Normal 4 6 2 4" xfId="878" xr:uid="{00000000-0005-0000-0000-0000C4020000}"/>
    <cellStyle name="Normal 4 6 2 4 2" xfId="3940" xr:uid="{973F4787-4907-4187-A032-5163C37A32CA}"/>
    <cellStyle name="Normal 4 6 2 4 2 2" xfId="8158" xr:uid="{3FF461F1-B966-48CD-87F1-373BA7F20F62}"/>
    <cellStyle name="Normal 4 6 2 4 3" xfId="6013" xr:uid="{92C0B67B-9B85-4E77-B1B1-D324EAE063D6}"/>
    <cellStyle name="Normal 4 6 2 4 4" xfId="1711" xr:uid="{909988DE-B95D-479F-807D-234B3C683205}"/>
    <cellStyle name="Normal 4 6 2 5" xfId="2124" xr:uid="{EDA10D4B-BFCD-4CDA-86E1-F2A19A54C50E}"/>
    <cellStyle name="Normal 4 6 2 5 2" xfId="4353" xr:uid="{0F8B0A8F-CDC5-4D23-9E9D-F44255DF25FD}"/>
    <cellStyle name="Normal 4 6 2 5 2 2" xfId="8571" xr:uid="{173E7D7B-4BF4-4DA1-968D-EA8333A5410F}"/>
    <cellStyle name="Normal 4 6 2 5 3" xfId="6426" xr:uid="{3F6278A5-1069-42D3-A6EA-936E749DD972}"/>
    <cellStyle name="Normal 4 6 2 6" xfId="2537" xr:uid="{FA291C44-7A3B-4D8F-B671-CE13C6DA9E90}"/>
    <cellStyle name="Normal 4 6 2 6 2" xfId="4766" xr:uid="{C0B0E3A0-3C53-4E2D-A1CA-E3262FDD239F}"/>
    <cellStyle name="Normal 4 6 2 6 2 2" xfId="8984" xr:uid="{8C331188-3912-4D8E-9BDD-9455D3CE1D0A}"/>
    <cellStyle name="Normal 4 6 2 6 3" xfId="6839" xr:uid="{163FF522-F6DB-48FC-8DEE-775EBE736742}"/>
    <cellStyle name="Normal 4 6 2 7" xfId="2950" xr:uid="{953896A4-C168-4B15-914C-62541952B683}"/>
    <cellStyle name="Normal 4 6 2 7 2" xfId="5179" xr:uid="{EA03E892-E587-4647-B932-97A21439D2EA}"/>
    <cellStyle name="Normal 4 6 2 7 2 2" xfId="9397" xr:uid="{D3AEF2A3-5000-44A5-9F21-71BD78A3C1AB}"/>
    <cellStyle name="Normal 4 6 2 7 3" xfId="7252" xr:uid="{7EF999C9-B73F-4258-A863-84A8A9BA0956}"/>
    <cellStyle name="Normal 4 6 2 8" xfId="3386" xr:uid="{1DFA620B-5A62-420D-8DD1-CD51DFD9C0A6}"/>
    <cellStyle name="Normal 4 6 2 8 2" xfId="7665" xr:uid="{27A7CF42-BD2B-4188-9E2B-3EB662E4F25E}"/>
    <cellStyle name="Normal 4 6 2 9" xfId="5600" xr:uid="{6FFBCCCC-F344-4D92-BF49-A8D9F83DB597}"/>
    <cellStyle name="Normal 4 6 3" xfId="403" xr:uid="{00000000-0005-0000-0000-0000C5020000}"/>
    <cellStyle name="Normal 4 6 3 2" xfId="404" xr:uid="{00000000-0005-0000-0000-0000C6020000}"/>
    <cellStyle name="Normal 4 6 3 2 2" xfId="883" xr:uid="{00000000-0005-0000-0000-0000C7020000}"/>
    <cellStyle name="Normal 4 6 3 2 2 2" xfId="3945" xr:uid="{E7F31105-2232-4656-B8AA-8B47FB789336}"/>
    <cellStyle name="Normal 4 6 3 2 2 2 2" xfId="8163" xr:uid="{6E08343E-6865-4160-9ABC-360D87425F3E}"/>
    <cellStyle name="Normal 4 6 3 2 2 3" xfId="6018" xr:uid="{2204D764-8E48-4432-837A-914F819FF1B6}"/>
    <cellStyle name="Normal 4 6 3 2 2 4" xfId="1716" xr:uid="{1ACDC35E-A1E6-4E97-B755-A759CB53E6C4}"/>
    <cellStyle name="Normal 4 6 3 2 3" xfId="2129" xr:uid="{CA14415F-AB0F-4C3C-8BBB-052FBC89EE12}"/>
    <cellStyle name="Normal 4 6 3 2 3 2" xfId="4358" xr:uid="{FBDDF395-28E2-43EB-A29E-759F4F75D101}"/>
    <cellStyle name="Normal 4 6 3 2 3 2 2" xfId="8576" xr:uid="{861DB13E-F7AE-478B-9180-C296F74AA085}"/>
    <cellStyle name="Normal 4 6 3 2 3 3" xfId="6431" xr:uid="{D749471B-1E8A-48FD-AA67-2CB40FC3ED95}"/>
    <cellStyle name="Normal 4 6 3 2 4" xfId="2542" xr:uid="{09ABF783-1493-43D7-BE6D-1E4170B02CCF}"/>
    <cellStyle name="Normal 4 6 3 2 4 2" xfId="4771" xr:uid="{34E0107D-4A8E-4F57-BD3D-A3F4BFA35DFA}"/>
    <cellStyle name="Normal 4 6 3 2 4 2 2" xfId="8989" xr:uid="{E03710BB-4B56-4993-9195-EB25B3D6F390}"/>
    <cellStyle name="Normal 4 6 3 2 4 3" xfId="6844" xr:uid="{63BC3369-DE0B-4FBF-BB60-A4CEFF81253F}"/>
    <cellStyle name="Normal 4 6 3 2 5" xfId="2955" xr:uid="{95624AEF-4890-442D-BC8B-0548D91B0ADC}"/>
    <cellStyle name="Normal 4 6 3 2 5 2" xfId="5184" xr:uid="{9BD25114-E74A-4C90-9EED-B58439DB36E2}"/>
    <cellStyle name="Normal 4 6 3 2 5 2 2" xfId="9402" xr:uid="{93C0D82F-F48E-4008-889B-9C1E8B67B64A}"/>
    <cellStyle name="Normal 4 6 3 2 5 3" xfId="7257" xr:uid="{9A66F581-A273-45A6-9410-BEA1607954A6}"/>
    <cellStyle name="Normal 4 6 3 2 6" xfId="3391" xr:uid="{5D47F2A4-CEB3-49B0-B689-3BBD8C166F16}"/>
    <cellStyle name="Normal 4 6 3 2 6 2" xfId="7670" xr:uid="{A9E0DDC0-A7F2-4F33-A252-7F548328F604}"/>
    <cellStyle name="Normal 4 6 3 2 7" xfId="5605" xr:uid="{FA3DB0D3-14C9-40A2-BB35-680FB3C66A3A}"/>
    <cellStyle name="Normal 4 6 3 2 8" xfId="1301" xr:uid="{D2FA5E34-7DE0-4A10-88F5-312D7A07D38E}"/>
    <cellStyle name="Normal 4 6 3 3" xfId="882" xr:uid="{00000000-0005-0000-0000-0000C8020000}"/>
    <cellStyle name="Normal 4 6 3 3 2" xfId="3944" xr:uid="{2B2453A1-2ADA-404F-BD74-90C11E439CDC}"/>
    <cellStyle name="Normal 4 6 3 3 2 2" xfId="8162" xr:uid="{1F76ED23-0243-4BB2-8109-766E608035EF}"/>
    <cellStyle name="Normal 4 6 3 3 3" xfId="6017" xr:uid="{651C1356-6E12-4A08-8BFE-8628272898B1}"/>
    <cellStyle name="Normal 4 6 3 3 4" xfId="1715" xr:uid="{E22DEB9A-3502-4F75-B146-A97D8AAAE0A9}"/>
    <cellStyle name="Normal 4 6 3 4" xfId="2128" xr:uid="{6DA803E7-3EB9-4E1F-8B06-B546F33770C6}"/>
    <cellStyle name="Normal 4 6 3 4 2" xfId="4357" xr:uid="{97F9A27F-C4FD-46FB-BBCE-20F705042C50}"/>
    <cellStyle name="Normal 4 6 3 4 2 2" xfId="8575" xr:uid="{8F453FE5-F843-4763-9CC3-EEB79D8D1B7E}"/>
    <cellStyle name="Normal 4 6 3 4 3" xfId="6430" xr:uid="{D832CD88-9466-4635-A66F-770D17FBCDF8}"/>
    <cellStyle name="Normal 4 6 3 5" xfId="2541" xr:uid="{6478D20A-AC93-40EA-B63B-DF1BC9075563}"/>
    <cellStyle name="Normal 4 6 3 5 2" xfId="4770" xr:uid="{FE9FF9F0-3C27-4AA9-89FD-E32F18A91229}"/>
    <cellStyle name="Normal 4 6 3 5 2 2" xfId="8988" xr:uid="{1372A932-D9F1-4EFE-9FCF-F77FCA990F80}"/>
    <cellStyle name="Normal 4 6 3 5 3" xfId="6843" xr:uid="{195E1B9C-F1CD-431F-BDEF-4515F883810C}"/>
    <cellStyle name="Normal 4 6 3 6" xfId="2954" xr:uid="{1F3DC60A-E910-49A9-BA3B-BA03454E3144}"/>
    <cellStyle name="Normal 4 6 3 6 2" xfId="5183" xr:uid="{95AB3BC4-1A2C-483B-91A3-C0527596D894}"/>
    <cellStyle name="Normal 4 6 3 6 2 2" xfId="9401" xr:uid="{4CF04B41-E3A9-486C-B771-4A7F3A94ECE8}"/>
    <cellStyle name="Normal 4 6 3 6 3" xfId="7256" xr:uid="{2B74C0EA-1ABB-4EA8-8503-644EB44367E9}"/>
    <cellStyle name="Normal 4 6 3 7" xfId="3390" xr:uid="{71331926-CB05-4A86-B869-999A15D08630}"/>
    <cellStyle name="Normal 4 6 3 7 2" xfId="7669" xr:uid="{8DC4D36D-8693-40D5-8350-5B3C7A0A873B}"/>
    <cellStyle name="Normal 4 6 3 8" xfId="5604" xr:uid="{B9E4EB6D-F4B1-40F2-8831-4E1034CCA5F4}"/>
    <cellStyle name="Normal 4 6 3 9" xfId="1300" xr:uid="{49DB542A-9789-46D0-8F9A-B75763457BED}"/>
    <cellStyle name="Normal 4 6 4" xfId="405" xr:uid="{00000000-0005-0000-0000-0000C9020000}"/>
    <cellStyle name="Normal 4 6 4 2" xfId="884" xr:uid="{00000000-0005-0000-0000-0000CA020000}"/>
    <cellStyle name="Normal 4 6 4 2 2" xfId="3946" xr:uid="{A9C01F28-F91A-4FB7-8681-296357D4D1C5}"/>
    <cellStyle name="Normal 4 6 4 2 2 2" xfId="8164" xr:uid="{A28044A1-7E15-444C-BC82-3C637991AC74}"/>
    <cellStyle name="Normal 4 6 4 2 3" xfId="6019" xr:uid="{19A0609D-6325-4DAE-8E56-3018E12796C7}"/>
    <cellStyle name="Normal 4 6 4 2 4" xfId="1717" xr:uid="{376C75C4-9120-4AC2-A1A5-2AD812A1CDEE}"/>
    <cellStyle name="Normal 4 6 4 3" xfId="2130" xr:uid="{3153456A-7CB9-4B08-A0CA-0C3BBFBE6238}"/>
    <cellStyle name="Normal 4 6 4 3 2" xfId="4359" xr:uid="{1A0479D7-9ACC-4652-AD31-45AB66DDAC9F}"/>
    <cellStyle name="Normal 4 6 4 3 2 2" xfId="8577" xr:uid="{3EE79BFD-9970-44AA-AC4F-DAD02B7D60E6}"/>
    <cellStyle name="Normal 4 6 4 3 3" xfId="6432" xr:uid="{15DCA405-C96F-45AB-846F-7CE12E2A9584}"/>
    <cellStyle name="Normal 4 6 4 4" xfId="2543" xr:uid="{F7243988-2250-4F0B-9CB7-6F362430F110}"/>
    <cellStyle name="Normal 4 6 4 4 2" xfId="4772" xr:uid="{7A11E451-F509-4106-8649-305F4DD193DD}"/>
    <cellStyle name="Normal 4 6 4 4 2 2" xfId="8990" xr:uid="{BC6E5D38-EABF-4372-9AC5-B27A75EBF850}"/>
    <cellStyle name="Normal 4 6 4 4 3" xfId="6845" xr:uid="{D2ABAAEA-0FB2-4BDA-A768-163B426BC9F7}"/>
    <cellStyle name="Normal 4 6 4 5" xfId="2956" xr:uid="{B80F2B99-4A8A-40E6-BEC4-72509371777C}"/>
    <cellStyle name="Normal 4 6 4 5 2" xfId="5185" xr:uid="{7D5CB127-4017-4245-A911-E8A8E695CF61}"/>
    <cellStyle name="Normal 4 6 4 5 2 2" xfId="9403" xr:uid="{0009BE19-A9E1-4130-915A-FAF4B5BDFB21}"/>
    <cellStyle name="Normal 4 6 4 5 3" xfId="7258" xr:uid="{5E30A7A1-C73D-40BA-AF85-9B2FB697B9FA}"/>
    <cellStyle name="Normal 4 6 4 6" xfId="3392" xr:uid="{B9937A0E-B07E-4F89-86C5-39523A6A393B}"/>
    <cellStyle name="Normal 4 6 4 6 2" xfId="7671" xr:uid="{3F1D15F4-5829-46C1-9A65-2DB9C4DCF87A}"/>
    <cellStyle name="Normal 4 6 4 7" xfId="5606" xr:uid="{8F663F3E-D065-4C4A-85B6-559694A27B8D}"/>
    <cellStyle name="Normal 4 6 4 8" xfId="1302" xr:uid="{C8AFBC3A-2FCB-4D86-B971-39B8A3934BFD}"/>
    <cellStyle name="Normal 4 6 5" xfId="877" xr:uid="{00000000-0005-0000-0000-0000CB020000}"/>
    <cellStyle name="Normal 4 6 5 2" xfId="3939" xr:uid="{33F47741-14EB-4D44-9CA7-A7600363C63A}"/>
    <cellStyle name="Normal 4 6 5 2 2" xfId="8157" xr:uid="{35D3755F-CA05-4AC0-AF52-27873A0954C5}"/>
    <cellStyle name="Normal 4 6 5 3" xfId="6012" xr:uid="{FA4791E8-17E2-4046-8EA5-3A4379382411}"/>
    <cellStyle name="Normal 4 6 5 4" xfId="1710" xr:uid="{05635B59-FFE0-4224-B6E6-3FBD51C90E06}"/>
    <cellStyle name="Normal 4 6 6" xfId="2123" xr:uid="{97FA5AC6-4FE5-4F39-A06A-4BF949AE295A}"/>
    <cellStyle name="Normal 4 6 6 2" xfId="4352" xr:uid="{0C328FA2-9359-4D28-A260-C643BD3949CD}"/>
    <cellStyle name="Normal 4 6 6 2 2" xfId="8570" xr:uid="{A0CB5FF8-37A0-4FDD-8455-5EBFCDAE6147}"/>
    <cellStyle name="Normal 4 6 6 3" xfId="6425" xr:uid="{41419627-B532-4C99-947B-534D38602A9F}"/>
    <cellStyle name="Normal 4 6 7" xfId="2536" xr:uid="{5ED95A4A-3DEB-4DFF-B653-D1FA1CAE2AC5}"/>
    <cellStyle name="Normal 4 6 7 2" xfId="4765" xr:uid="{B9C57604-31F8-4AEF-9846-407635F90F55}"/>
    <cellStyle name="Normal 4 6 7 2 2" xfId="8983" xr:uid="{4034B3CC-9F23-461C-BA6C-DF8A052F4BA0}"/>
    <cellStyle name="Normal 4 6 7 3" xfId="6838" xr:uid="{0DED896D-52A3-4AD0-85F5-37E80E9D1588}"/>
    <cellStyle name="Normal 4 6 8" xfId="2949" xr:uid="{FB4B142E-B394-4D4C-9B7E-E58871C5E1E9}"/>
    <cellStyle name="Normal 4 6 8 2" xfId="5178" xr:uid="{5190DD15-2976-4987-901A-6D2EED2A7526}"/>
    <cellStyle name="Normal 4 6 8 2 2" xfId="9396" xr:uid="{1B99DEE8-27F1-4026-ABBA-5393CDCC14CF}"/>
    <cellStyle name="Normal 4 6 8 3" xfId="7251" xr:uid="{298AC9A8-E0F7-4146-BFBF-AD03C52BDC8A}"/>
    <cellStyle name="Normal 4 6 9" xfId="3385" xr:uid="{3BEA060A-3D73-4127-8D8C-5AE2168C59FF}"/>
    <cellStyle name="Normal 4 6 9 2" xfId="7664" xr:uid="{A74F8614-7831-4199-BD10-F20EFEB18181}"/>
    <cellStyle name="Normal 4 7" xfId="406" xr:uid="{00000000-0005-0000-0000-0000CC020000}"/>
    <cellStyle name="Normal 4 7 2" xfId="407" xr:uid="{00000000-0005-0000-0000-0000CD020000}"/>
    <cellStyle name="Normal 4 7 2 2" xfId="886" xr:uid="{00000000-0005-0000-0000-0000CE020000}"/>
    <cellStyle name="Normal 4 7 2 2 2" xfId="3948" xr:uid="{D27C43CA-CB82-4EC4-ACBF-D8B39DD093B3}"/>
    <cellStyle name="Normal 4 7 2 2 2 2" xfId="8166" xr:uid="{C99061F7-E007-4EB8-BE0A-5A90CFDE7CB5}"/>
    <cellStyle name="Normal 4 7 2 2 3" xfId="6021" xr:uid="{799DD1D7-05F7-4A8E-A473-2A180768BCBD}"/>
    <cellStyle name="Normal 4 7 2 2 4" xfId="1719" xr:uid="{08E8D9B1-3643-41A1-9B10-4E711F3DB3E0}"/>
    <cellStyle name="Normal 4 7 2 3" xfId="2132" xr:uid="{46A1327E-E803-4801-A4B6-1960485305F8}"/>
    <cellStyle name="Normal 4 7 2 3 2" xfId="4361" xr:uid="{D6740634-1C5F-4C26-B1A5-396123874F2F}"/>
    <cellStyle name="Normal 4 7 2 3 2 2" xfId="8579" xr:uid="{37AA953C-7B09-4648-891F-0211B595BBA2}"/>
    <cellStyle name="Normal 4 7 2 3 3" xfId="6434" xr:uid="{133678B4-8BDE-48C8-A824-DDE79434BED5}"/>
    <cellStyle name="Normal 4 7 2 4" xfId="2545" xr:uid="{33163F88-960F-46B3-89F2-F1FDD5262089}"/>
    <cellStyle name="Normal 4 7 2 4 2" xfId="4774" xr:uid="{0118FA8E-2B59-4380-938E-664510989345}"/>
    <cellStyle name="Normal 4 7 2 4 2 2" xfId="8992" xr:uid="{A2ED8114-EEAD-4F3A-A4A2-5CAA52E5038D}"/>
    <cellStyle name="Normal 4 7 2 4 3" xfId="6847" xr:uid="{A1608D38-EA2C-4661-8959-534ED15043C2}"/>
    <cellStyle name="Normal 4 7 2 5" xfId="2958" xr:uid="{C8E004A8-FF0D-4FB4-B09D-3583C9917E68}"/>
    <cellStyle name="Normal 4 7 2 5 2" xfId="5187" xr:uid="{F831C21C-BD66-4572-B92E-A59A06969736}"/>
    <cellStyle name="Normal 4 7 2 5 2 2" xfId="9405" xr:uid="{A0DA6DB4-509C-45D0-B20B-47571B108AB1}"/>
    <cellStyle name="Normal 4 7 2 5 3" xfId="7260" xr:uid="{B3239724-791F-46D6-BC69-A5F8B6B3D559}"/>
    <cellStyle name="Normal 4 7 2 6" xfId="3394" xr:uid="{9C5FF352-9D4E-4510-A399-AFE883C7C19D}"/>
    <cellStyle name="Normal 4 7 2 6 2" xfId="7673" xr:uid="{7A88F6A1-6A2E-4759-B447-DB4F0B0564B9}"/>
    <cellStyle name="Normal 4 7 2 7" xfId="5608" xr:uid="{FF9DC42F-92E4-4304-BFAE-6E160E0D17FF}"/>
    <cellStyle name="Normal 4 7 2 8" xfId="1304" xr:uid="{43F9AF84-B6ED-465D-92A8-BE8A36E6498C}"/>
    <cellStyle name="Normal 4 7 3" xfId="885" xr:uid="{00000000-0005-0000-0000-0000CF020000}"/>
    <cellStyle name="Normal 4 7 3 2" xfId="3947" xr:uid="{FD1C4565-F436-4C04-A17C-FC04D7556A60}"/>
    <cellStyle name="Normal 4 7 3 2 2" xfId="8165" xr:uid="{E7386CDF-8E4F-40D8-B47E-B16F7C080B83}"/>
    <cellStyle name="Normal 4 7 3 3" xfId="6020" xr:uid="{50C85939-3E6C-427B-888F-31C52B2B2499}"/>
    <cellStyle name="Normal 4 7 3 4" xfId="1718" xr:uid="{63BCBAB9-ED38-4CB2-B3EF-4FE26823E183}"/>
    <cellStyle name="Normal 4 7 4" xfId="2131" xr:uid="{09EA7886-930E-4B0A-B3C4-15D6255C2CBB}"/>
    <cellStyle name="Normal 4 7 4 2" xfId="4360" xr:uid="{E2617B03-A565-4F53-B7FE-0858A24B8570}"/>
    <cellStyle name="Normal 4 7 4 2 2" xfId="8578" xr:uid="{B7F25027-2764-40C6-92B0-30D9571F04B0}"/>
    <cellStyle name="Normal 4 7 4 3" xfId="6433" xr:uid="{F8627D4A-C847-4264-950B-C0A086816549}"/>
    <cellStyle name="Normal 4 7 5" xfId="2544" xr:uid="{98BD3F75-B802-4B46-8B17-E1D8742EC7F3}"/>
    <cellStyle name="Normal 4 7 5 2" xfId="4773" xr:uid="{DF670FF9-2045-4137-B939-31AA42437D2E}"/>
    <cellStyle name="Normal 4 7 5 2 2" xfId="8991" xr:uid="{1B4E0AEB-D06A-4326-ADC4-8D2514548707}"/>
    <cellStyle name="Normal 4 7 5 3" xfId="6846" xr:uid="{D2BCBD2D-C0C8-48AE-840B-EB7FB71209B5}"/>
    <cellStyle name="Normal 4 7 6" xfId="2957" xr:uid="{CF737306-58A2-4291-B010-28FE2A210E20}"/>
    <cellStyle name="Normal 4 7 6 2" xfId="5186" xr:uid="{6FD3F499-D2EC-4BAD-9CCC-32A0505EB738}"/>
    <cellStyle name="Normal 4 7 6 2 2" xfId="9404" xr:uid="{A33AA580-FD63-4B71-85D8-7EE035C8E11A}"/>
    <cellStyle name="Normal 4 7 6 3" xfId="7259" xr:uid="{73C1C135-1CD2-42BD-9CCB-390184A5001B}"/>
    <cellStyle name="Normal 4 7 7" xfId="3393" xr:uid="{047741D7-CCEB-481F-9229-28E40B246FB2}"/>
    <cellStyle name="Normal 4 7 7 2" xfId="7672" xr:uid="{B2F5C32E-F08F-4CC1-B061-FDBB90F94A25}"/>
    <cellStyle name="Normal 4 7 8" xfId="5607" xr:uid="{ADF58FA8-7422-416E-86F4-27BDE11C8280}"/>
    <cellStyle name="Normal 4 7 9" xfId="1303" xr:uid="{A0E158F7-07B8-45DD-B2B3-D1D5B5457D87}"/>
    <cellStyle name="Normal 4 8" xfId="408" xr:uid="{00000000-0005-0000-0000-0000D0020000}"/>
    <cellStyle name="Normal 4 8 2" xfId="887" xr:uid="{00000000-0005-0000-0000-0000D1020000}"/>
    <cellStyle name="Normal 4 8 2 2" xfId="3949" xr:uid="{19D5C47B-4A4D-49D3-9F60-2B9515AEAB5C}"/>
    <cellStyle name="Normal 4 8 2 2 2" xfId="8167" xr:uid="{C9F38C76-4256-4723-81D5-6383CD9308F2}"/>
    <cellStyle name="Normal 4 8 2 3" xfId="6022" xr:uid="{1E4975C1-A5FD-42E1-A850-9430C133E7AA}"/>
    <cellStyle name="Normal 4 8 2 4" xfId="1720" xr:uid="{0D95BF1C-A280-45ED-8742-C04A09BE39AA}"/>
    <cellStyle name="Normal 4 8 3" xfId="2133" xr:uid="{04E6A53D-417C-4A56-B4BB-693EFACC03BA}"/>
    <cellStyle name="Normal 4 8 3 2" xfId="4362" xr:uid="{31A55CDC-952E-469E-8E11-0D49AA0C0BF6}"/>
    <cellStyle name="Normal 4 8 3 2 2" xfId="8580" xr:uid="{AD177B99-B113-4B28-BDAF-69A4098B8BD4}"/>
    <cellStyle name="Normal 4 8 3 3" xfId="6435" xr:uid="{507FE2CF-C297-4DDC-BB14-40E33A29D16B}"/>
    <cellStyle name="Normal 4 8 4" xfId="2546" xr:uid="{47997CC7-54D2-4634-9554-C2D3D81D599C}"/>
    <cellStyle name="Normal 4 8 4 2" xfId="4775" xr:uid="{F4538260-7793-4C65-AA28-AE19C547A5E8}"/>
    <cellStyle name="Normal 4 8 4 2 2" xfId="8993" xr:uid="{F202BDBA-A9FD-4710-B67E-030C00B3CB2B}"/>
    <cellStyle name="Normal 4 8 4 3" xfId="6848" xr:uid="{498C7AAB-4327-43EB-A101-30836CFB4B31}"/>
    <cellStyle name="Normal 4 8 5" xfId="2959" xr:uid="{46198945-06B2-4BE0-B99F-A8379EF7245B}"/>
    <cellStyle name="Normal 4 8 5 2" xfId="5188" xr:uid="{8CADA03A-C46B-467E-BA2D-1C8279738BFF}"/>
    <cellStyle name="Normal 4 8 5 2 2" xfId="9406" xr:uid="{4A7A326B-E177-43DC-ACB4-407BB45CAE01}"/>
    <cellStyle name="Normal 4 8 5 3" xfId="7261" xr:uid="{68773951-CFCC-4908-BDC8-B5C1D586BE03}"/>
    <cellStyle name="Normal 4 8 6" xfId="3395" xr:uid="{A06520BE-7A02-4264-8AF2-4F529375D016}"/>
    <cellStyle name="Normal 4 8 6 2" xfId="7674" xr:uid="{0A69701E-F05A-41C8-AE6D-6137A85C34AF}"/>
    <cellStyle name="Normal 4 8 7" xfId="5609" xr:uid="{B4942AB0-37C0-484C-9E97-F14EE25B9A26}"/>
    <cellStyle name="Normal 4 8 8" xfId="1305" xr:uid="{46F0E28B-FB7D-40F9-A68B-1471360793DD}"/>
    <cellStyle name="Normal 4 9" xfId="5546" xr:uid="{C748C044-D2AF-4AC8-8231-BCF843FFF33F}"/>
    <cellStyle name="Normal 5" xfId="409" xr:uid="{00000000-0005-0000-0000-0000D2020000}"/>
    <cellStyle name="Normal 5 10" xfId="2547" xr:uid="{74B92626-7199-4464-BB3C-D7A290A46662}"/>
    <cellStyle name="Normal 5 10 2" xfId="4776" xr:uid="{1FDD091A-1495-4A74-8948-BDACD771731A}"/>
    <cellStyle name="Normal 5 10 2 2" xfId="8994" xr:uid="{7C2CBE3B-4591-4791-9842-8043FB2B3577}"/>
    <cellStyle name="Normal 5 10 3" xfId="6849" xr:uid="{B33BAC00-0D49-4EAA-ADD6-C540C3D0EFAA}"/>
    <cellStyle name="Normal 5 11" xfId="2960" xr:uid="{1B4ADAE1-350C-4D6F-898C-B97AF2952E87}"/>
    <cellStyle name="Normal 5 11 2" xfId="5189" xr:uid="{FD4ADD5E-E11C-4ECB-8E1C-D01FB4C55ADA}"/>
    <cellStyle name="Normal 5 11 2 2" xfId="9407" xr:uid="{338EAB33-EA9A-4024-9A1E-EFF36ECA70B5}"/>
    <cellStyle name="Normal 5 11 3" xfId="7262" xr:uid="{36E0C706-6D9D-4A17-81D0-3D48FF1E3419}"/>
    <cellStyle name="Normal 5 12" xfId="3396" xr:uid="{2889C8EE-ACDA-4F57-8055-51644F842010}"/>
    <cellStyle name="Normal 5 12 2" xfId="7675" xr:uid="{CF06D764-5E09-4198-908F-43C3F1A28C03}"/>
    <cellStyle name="Normal 5 13" xfId="5610" xr:uid="{BB9E5906-0E99-4C46-A4AB-9943BE0DFF4E}"/>
    <cellStyle name="Normal 5 14" xfId="1306" xr:uid="{4EEFDC7E-2249-40D4-9A16-1D642F0BBC80}"/>
    <cellStyle name="Normal 5 2" xfId="410" xr:uid="{00000000-0005-0000-0000-0000D3020000}"/>
    <cellStyle name="Normal 5 2 10" xfId="2961" xr:uid="{0E6B6BD9-DA5C-4CA6-A4DC-7DA6F0DDD0FB}"/>
    <cellStyle name="Normal 5 2 10 2" xfId="5190" xr:uid="{99037CA8-B225-4969-B557-F712CB6E37EC}"/>
    <cellStyle name="Normal 5 2 10 2 2" xfId="9408" xr:uid="{D90B971D-94DC-4AE6-A880-75EF1D7B5731}"/>
    <cellStyle name="Normal 5 2 10 3" xfId="7263" xr:uid="{655A5DC9-0C86-4389-A77F-627CA0303966}"/>
    <cellStyle name="Normal 5 2 11" xfId="3397" xr:uid="{D4454592-2C0C-4CBE-B20E-1AEE36E57EEC}"/>
    <cellStyle name="Normal 5 2 11 2" xfId="7676" xr:uid="{CFF15125-3EB6-4651-90B0-2EF5DD269A9B}"/>
    <cellStyle name="Normal 5 2 12" xfId="5611" xr:uid="{A8CEB982-4337-4AEE-BE46-E04F9710671F}"/>
    <cellStyle name="Normal 5 2 13" xfId="1307" xr:uid="{A1340127-5DFC-4550-BABC-FC19B00FD7CE}"/>
    <cellStyle name="Normal 5 2 2" xfId="411" xr:uid="{00000000-0005-0000-0000-0000D4020000}"/>
    <cellStyle name="Normal 5 2 2 10" xfId="3398" xr:uid="{0DF27B5E-5165-4031-892A-E243E8934798}"/>
    <cellStyle name="Normal 5 2 2 10 2" xfId="7677" xr:uid="{AF9931E7-80CA-4C78-8B36-47290158BB2E}"/>
    <cellStyle name="Normal 5 2 2 11" xfId="5612" xr:uid="{0072963F-F5AC-4DC6-B861-F5AF75D30055}"/>
    <cellStyle name="Normal 5 2 2 12" xfId="1308" xr:uid="{1E15C91D-E5CB-48C8-AFC4-1E98BFC90BA8}"/>
    <cellStyle name="Normal 5 2 2 2" xfId="412" xr:uid="{00000000-0005-0000-0000-0000D5020000}"/>
    <cellStyle name="Normal 5 2 2 2 10" xfId="5613" xr:uid="{AEE37548-AE48-4C19-8948-D9F5DD441CCE}"/>
    <cellStyle name="Normal 5 2 2 2 11" xfId="1309" xr:uid="{4B77D8B3-D98A-4F49-9751-9167518E8BE5}"/>
    <cellStyle name="Normal 5 2 2 2 2" xfId="413" xr:uid="{00000000-0005-0000-0000-0000D6020000}"/>
    <cellStyle name="Normal 5 2 2 2 2 10" xfId="1310" xr:uid="{D93D1389-9FBE-41F4-8501-53AC8BBE12C9}"/>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3956" xr:uid="{DBE1231B-D915-4493-8D6D-1DF097253EC0}"/>
    <cellStyle name="Normal 5 2 2 2 2 2 2 2 2 2" xfId="8174" xr:uid="{D87D3F1B-E259-433B-9584-04F2323A2D7F}"/>
    <cellStyle name="Normal 5 2 2 2 2 2 2 2 3" xfId="6029" xr:uid="{6156756A-E30B-447A-88F9-BAE4D3F1597E}"/>
    <cellStyle name="Normal 5 2 2 2 2 2 2 2 4" xfId="1727" xr:uid="{01507B96-4CE5-427E-831F-F680533B9960}"/>
    <cellStyle name="Normal 5 2 2 2 2 2 2 3" xfId="2140" xr:uid="{DC8CFB95-7036-4D5A-8BA7-0647B3FF1A06}"/>
    <cellStyle name="Normal 5 2 2 2 2 2 2 3 2" xfId="4369" xr:uid="{A80299B4-620B-43C7-94AF-BC8E3B11EB46}"/>
    <cellStyle name="Normal 5 2 2 2 2 2 2 3 2 2" xfId="8587" xr:uid="{5FDB291B-9C36-4983-8954-6F3155527D85}"/>
    <cellStyle name="Normal 5 2 2 2 2 2 2 3 3" xfId="6442" xr:uid="{43BE3E4C-FD00-488D-B106-0BECF1CFFC12}"/>
    <cellStyle name="Normal 5 2 2 2 2 2 2 4" xfId="2553" xr:uid="{B3653FF1-20FC-4A9C-8C63-EDE942457AF8}"/>
    <cellStyle name="Normal 5 2 2 2 2 2 2 4 2" xfId="4782" xr:uid="{8030C4EC-296B-4992-BB1D-5EC36F515B05}"/>
    <cellStyle name="Normal 5 2 2 2 2 2 2 4 2 2" xfId="9000" xr:uid="{DA2BB97C-CBE7-4BA2-ADD8-08C5ADF63B8A}"/>
    <cellStyle name="Normal 5 2 2 2 2 2 2 4 3" xfId="6855" xr:uid="{DA206F97-1617-415E-9539-AD9611969E1D}"/>
    <cellStyle name="Normal 5 2 2 2 2 2 2 5" xfId="2966" xr:uid="{E9811B70-E012-42A4-A67C-9F1DC0B44190}"/>
    <cellStyle name="Normal 5 2 2 2 2 2 2 5 2" xfId="5195" xr:uid="{DF62AA8D-34D4-4A87-BE1D-18885F79F7AF}"/>
    <cellStyle name="Normal 5 2 2 2 2 2 2 5 2 2" xfId="9413" xr:uid="{5342310A-A8CB-4543-898C-5AF1EE1F7D77}"/>
    <cellStyle name="Normal 5 2 2 2 2 2 2 5 3" xfId="7268" xr:uid="{48574B97-C2D3-4BC9-AEA8-81055708DE96}"/>
    <cellStyle name="Normal 5 2 2 2 2 2 2 6" xfId="3402" xr:uid="{10893E4C-0F6A-4456-BC78-F649D81BC49F}"/>
    <cellStyle name="Normal 5 2 2 2 2 2 2 6 2" xfId="7681" xr:uid="{59342C39-CC65-4B57-B7E4-42533170D65D}"/>
    <cellStyle name="Normal 5 2 2 2 2 2 2 7" xfId="5616" xr:uid="{647A134A-226C-411F-B2B7-79B8273EFC8E}"/>
    <cellStyle name="Normal 5 2 2 2 2 2 2 8" xfId="1312" xr:uid="{95D88B29-4990-4A3A-95CE-1C568CAD221F}"/>
    <cellStyle name="Normal 5 2 2 2 2 2 3" xfId="893" xr:uid="{00000000-0005-0000-0000-0000DA020000}"/>
    <cellStyle name="Normal 5 2 2 2 2 2 3 2" xfId="3955" xr:uid="{E6C73C60-084F-405A-905F-5212EE7C8849}"/>
    <cellStyle name="Normal 5 2 2 2 2 2 3 2 2" xfId="8173" xr:uid="{DBE7B5E7-C4A5-4F89-8C60-25F89B9B8AAC}"/>
    <cellStyle name="Normal 5 2 2 2 2 2 3 3" xfId="6028" xr:uid="{25FB5E1E-DC25-4525-9EE6-168BDB634382}"/>
    <cellStyle name="Normal 5 2 2 2 2 2 3 4" xfId="1726" xr:uid="{270CCA58-898C-493C-99F4-53EBF0408D17}"/>
    <cellStyle name="Normal 5 2 2 2 2 2 4" xfId="2139" xr:uid="{DC3EE4FF-DB18-459F-A572-B9317A3C51DC}"/>
    <cellStyle name="Normal 5 2 2 2 2 2 4 2" xfId="4368" xr:uid="{BF0CB4CA-38DF-4244-BF3A-5B72B6EED646}"/>
    <cellStyle name="Normal 5 2 2 2 2 2 4 2 2" xfId="8586" xr:uid="{060C5FF4-262D-4DBA-92AC-FF987900FE43}"/>
    <cellStyle name="Normal 5 2 2 2 2 2 4 3" xfId="6441" xr:uid="{D7BA920F-FCAE-4B6A-92A1-66B0AE185559}"/>
    <cellStyle name="Normal 5 2 2 2 2 2 5" xfId="2552" xr:uid="{FA915380-74CD-4B66-B5F8-E9AAAD59B386}"/>
    <cellStyle name="Normal 5 2 2 2 2 2 5 2" xfId="4781" xr:uid="{198E163F-090F-47E5-9BDB-1172CB242930}"/>
    <cellStyle name="Normal 5 2 2 2 2 2 5 2 2" xfId="8999" xr:uid="{1EF613AC-0563-436A-9182-AF0980F63A13}"/>
    <cellStyle name="Normal 5 2 2 2 2 2 5 3" xfId="6854" xr:uid="{6899B45C-FE57-4FF9-BA89-4E5EEF33860E}"/>
    <cellStyle name="Normal 5 2 2 2 2 2 6" xfId="2965" xr:uid="{1308C824-C6B8-4D69-BE9F-D79DC98F50DB}"/>
    <cellStyle name="Normal 5 2 2 2 2 2 6 2" xfId="5194" xr:uid="{D8D49B33-96CD-4C09-AC7A-5E1FEC4289B0}"/>
    <cellStyle name="Normal 5 2 2 2 2 2 6 2 2" xfId="9412" xr:uid="{18843B26-2A70-45E8-B7D6-0B6D232A6809}"/>
    <cellStyle name="Normal 5 2 2 2 2 2 6 3" xfId="7267" xr:uid="{693E9228-6E2C-426F-8F28-50D81916958B}"/>
    <cellStyle name="Normal 5 2 2 2 2 2 7" xfId="3401" xr:uid="{45EB5655-312D-4979-BB6E-3C88B463853E}"/>
    <cellStyle name="Normal 5 2 2 2 2 2 7 2" xfId="7680" xr:uid="{84B8562E-1EC2-4083-A99A-80900CADC199}"/>
    <cellStyle name="Normal 5 2 2 2 2 2 8" xfId="5615" xr:uid="{5F78BD5F-D546-47D0-8C06-C29CCC29F0A8}"/>
    <cellStyle name="Normal 5 2 2 2 2 2 9" xfId="1311" xr:uid="{23084FFB-9E4B-47B2-9D0E-FE15918BE9EE}"/>
    <cellStyle name="Normal 5 2 2 2 2 3" xfId="416" xr:uid="{00000000-0005-0000-0000-0000DB020000}"/>
    <cellStyle name="Normal 5 2 2 2 2 3 2" xfId="895" xr:uid="{00000000-0005-0000-0000-0000DC020000}"/>
    <cellStyle name="Normal 5 2 2 2 2 3 2 2" xfId="3957" xr:uid="{DBB9C932-7A26-4664-860F-8FFEAA5AEC4D}"/>
    <cellStyle name="Normal 5 2 2 2 2 3 2 2 2" xfId="8175" xr:uid="{0F8C3710-40AA-4A65-B452-1EE9C234F315}"/>
    <cellStyle name="Normal 5 2 2 2 2 3 2 3" xfId="6030" xr:uid="{02047693-D744-42BF-8F89-70675FA1FECB}"/>
    <cellStyle name="Normal 5 2 2 2 2 3 2 4" xfId="1728" xr:uid="{370D327A-3253-46E0-B251-AE19C37113D4}"/>
    <cellStyle name="Normal 5 2 2 2 2 3 3" xfId="2141" xr:uid="{08284E01-6D57-40F0-9A01-F5ACDFE10EB2}"/>
    <cellStyle name="Normal 5 2 2 2 2 3 3 2" xfId="4370" xr:uid="{0EF0A615-9321-41F9-A7C5-D4B4EC0F2371}"/>
    <cellStyle name="Normal 5 2 2 2 2 3 3 2 2" xfId="8588" xr:uid="{9A6C1374-2F46-4B14-9EA6-524FA05234E1}"/>
    <cellStyle name="Normal 5 2 2 2 2 3 3 3" xfId="6443" xr:uid="{56B3A0CB-5576-4507-B957-974807704FFF}"/>
    <cellStyle name="Normal 5 2 2 2 2 3 4" xfId="2554" xr:uid="{A5D33E40-D84D-49D0-9D22-8EE55D149EC3}"/>
    <cellStyle name="Normal 5 2 2 2 2 3 4 2" xfId="4783" xr:uid="{7621E482-93DA-4F62-840B-F714E52975C2}"/>
    <cellStyle name="Normal 5 2 2 2 2 3 4 2 2" xfId="9001" xr:uid="{49555497-759D-411B-AFB4-0AA10D39E78A}"/>
    <cellStyle name="Normal 5 2 2 2 2 3 4 3" xfId="6856" xr:uid="{7073892B-37D8-4420-965B-88F4F0BD062F}"/>
    <cellStyle name="Normal 5 2 2 2 2 3 5" xfId="2967" xr:uid="{0899C32F-856A-4BED-95D0-EEECA8971AC4}"/>
    <cellStyle name="Normal 5 2 2 2 2 3 5 2" xfId="5196" xr:uid="{3F7DC215-2E34-4FDA-85A7-9820827BD683}"/>
    <cellStyle name="Normal 5 2 2 2 2 3 5 2 2" xfId="9414" xr:uid="{4B9C44FC-16A7-4E06-9C9D-E4F63BE13943}"/>
    <cellStyle name="Normal 5 2 2 2 2 3 5 3" xfId="7269" xr:uid="{0837FE7A-E773-4CBB-A90A-CCCF36EC3BC0}"/>
    <cellStyle name="Normal 5 2 2 2 2 3 6" xfId="3403" xr:uid="{B5952475-331F-4527-B8C8-FA86588C0ACE}"/>
    <cellStyle name="Normal 5 2 2 2 2 3 6 2" xfId="7682" xr:uid="{96C587CF-4793-4934-9C09-00B0C21A2027}"/>
    <cellStyle name="Normal 5 2 2 2 2 3 7" xfId="5617" xr:uid="{EC0CF648-D794-4796-8EFA-54172925D8A9}"/>
    <cellStyle name="Normal 5 2 2 2 2 3 8" xfId="1313" xr:uid="{1480C731-3031-4050-BF41-ABA6C5EB44E1}"/>
    <cellStyle name="Normal 5 2 2 2 2 4" xfId="892" xr:uid="{00000000-0005-0000-0000-0000DD020000}"/>
    <cellStyle name="Normal 5 2 2 2 2 4 2" xfId="3954" xr:uid="{DECEEF39-2D8F-4B30-AF9D-20EE08D24C3B}"/>
    <cellStyle name="Normal 5 2 2 2 2 4 2 2" xfId="8172" xr:uid="{39D5E7E2-63F8-4B89-9076-99D27E7C2E66}"/>
    <cellStyle name="Normal 5 2 2 2 2 4 3" xfId="6027" xr:uid="{35FE7CE1-CE46-45A7-A4DE-4A8D6C1C9B36}"/>
    <cellStyle name="Normal 5 2 2 2 2 4 4" xfId="1725" xr:uid="{E2253C0A-9FC7-44B1-98DF-7344F3B6B773}"/>
    <cellStyle name="Normal 5 2 2 2 2 5" xfId="2138" xr:uid="{32491C82-FC82-4362-AFE2-5A17C0DF7F58}"/>
    <cellStyle name="Normal 5 2 2 2 2 5 2" xfId="4367" xr:uid="{1A573A8B-0E40-4E31-A674-116323BF5EB2}"/>
    <cellStyle name="Normal 5 2 2 2 2 5 2 2" xfId="8585" xr:uid="{89D42882-1DF9-4D9B-80CE-A6394C30296E}"/>
    <cellStyle name="Normal 5 2 2 2 2 5 3" xfId="6440" xr:uid="{038826E9-E883-41CE-8496-CD2032AAEB7C}"/>
    <cellStyle name="Normal 5 2 2 2 2 6" xfId="2551" xr:uid="{8AA25865-C338-4967-A0D5-CEC2CF48237D}"/>
    <cellStyle name="Normal 5 2 2 2 2 6 2" xfId="4780" xr:uid="{1CCEFC99-512C-41C0-A667-8CF3CBF2ABF7}"/>
    <cellStyle name="Normal 5 2 2 2 2 6 2 2" xfId="8998" xr:uid="{9EA8BDE4-005C-40D9-81A1-3D71B4E5F019}"/>
    <cellStyle name="Normal 5 2 2 2 2 6 3" xfId="6853" xr:uid="{BBF6C6A7-ED3B-4FF9-89EA-798CB32E7491}"/>
    <cellStyle name="Normal 5 2 2 2 2 7" xfId="2964" xr:uid="{E4FA870B-1F7C-44B7-9F0B-E13276019730}"/>
    <cellStyle name="Normal 5 2 2 2 2 7 2" xfId="5193" xr:uid="{247A2DE6-DAA1-4DD1-91F6-69B911009061}"/>
    <cellStyle name="Normal 5 2 2 2 2 7 2 2" xfId="9411" xr:uid="{B03853AF-77C6-4F0F-92D7-EE55A5E962E5}"/>
    <cellStyle name="Normal 5 2 2 2 2 7 3" xfId="7266" xr:uid="{66BF6C8C-346A-4F4D-A7A2-2F46925ABE71}"/>
    <cellStyle name="Normal 5 2 2 2 2 8" xfId="3400" xr:uid="{0DB28626-46C8-472A-A842-59EBFAB87A6E}"/>
    <cellStyle name="Normal 5 2 2 2 2 8 2" xfId="7679" xr:uid="{C0AB36AF-1A67-49D5-AA3C-F2EF554F868A}"/>
    <cellStyle name="Normal 5 2 2 2 2 9" xfId="5614" xr:uid="{BD5F5CA7-7B41-48FE-851E-565DB50164F0}"/>
    <cellStyle name="Normal 5 2 2 2 3" xfId="417" xr:uid="{00000000-0005-0000-0000-0000DE020000}"/>
    <cellStyle name="Normal 5 2 2 2 3 2" xfId="418" xr:uid="{00000000-0005-0000-0000-0000DF020000}"/>
    <cellStyle name="Normal 5 2 2 2 3 2 2" xfId="897" xr:uid="{00000000-0005-0000-0000-0000E0020000}"/>
    <cellStyle name="Normal 5 2 2 2 3 2 2 2" xfId="3959" xr:uid="{D6C510DF-C663-4EDD-AE34-866C889FFE76}"/>
    <cellStyle name="Normal 5 2 2 2 3 2 2 2 2" xfId="8177" xr:uid="{F5501D3D-6E3D-4732-8BB8-EEFE32D1CB7C}"/>
    <cellStyle name="Normal 5 2 2 2 3 2 2 3" xfId="6032" xr:uid="{F4844528-3DB6-4373-B126-3A1EE1EF6CAA}"/>
    <cellStyle name="Normal 5 2 2 2 3 2 2 4" xfId="1730" xr:uid="{7E021E16-296D-4708-BBF3-A009B5EF7C18}"/>
    <cellStyle name="Normal 5 2 2 2 3 2 3" xfId="2143" xr:uid="{52A34E84-E246-4C1E-BB47-4679471DC689}"/>
    <cellStyle name="Normal 5 2 2 2 3 2 3 2" xfId="4372" xr:uid="{8E6E4A04-5FC9-4023-8E63-D6CC31DC32F1}"/>
    <cellStyle name="Normal 5 2 2 2 3 2 3 2 2" xfId="8590" xr:uid="{3482124F-7481-4726-9B05-02F634BA87E3}"/>
    <cellStyle name="Normal 5 2 2 2 3 2 3 3" xfId="6445" xr:uid="{95CFF499-B876-4DF7-8D76-7803175AC9AB}"/>
    <cellStyle name="Normal 5 2 2 2 3 2 4" xfId="2556" xr:uid="{A0503679-7FE2-484E-AA0D-041E618B31EF}"/>
    <cellStyle name="Normal 5 2 2 2 3 2 4 2" xfId="4785" xr:uid="{7C20A71D-33C1-4035-A57E-2E5BF3B7BEFF}"/>
    <cellStyle name="Normal 5 2 2 2 3 2 4 2 2" xfId="9003" xr:uid="{4BEAE1F0-1222-4E87-B8C1-80AC36AE944A}"/>
    <cellStyle name="Normal 5 2 2 2 3 2 4 3" xfId="6858" xr:uid="{418B3FA4-7F0B-4D81-8F22-46906A29F1FE}"/>
    <cellStyle name="Normal 5 2 2 2 3 2 5" xfId="2969" xr:uid="{E8739863-302C-4E7C-99F4-89B858006B82}"/>
    <cellStyle name="Normal 5 2 2 2 3 2 5 2" xfId="5198" xr:uid="{C7B1344E-DE1C-4525-8936-DBF1F1EDE185}"/>
    <cellStyle name="Normal 5 2 2 2 3 2 5 2 2" xfId="9416" xr:uid="{F461DA13-B71B-47EB-8449-A12D06741059}"/>
    <cellStyle name="Normal 5 2 2 2 3 2 5 3" xfId="7271" xr:uid="{6DC9E2D1-54DD-44A5-94AA-881E89BF0C53}"/>
    <cellStyle name="Normal 5 2 2 2 3 2 6" xfId="3405" xr:uid="{E2D311D4-14B0-4B4C-8B3E-FD634BD72901}"/>
    <cellStyle name="Normal 5 2 2 2 3 2 6 2" xfId="7684" xr:uid="{FBF5187D-5DB5-44C1-A11A-07F8B07DC213}"/>
    <cellStyle name="Normal 5 2 2 2 3 2 7" xfId="5619" xr:uid="{54DEE5E2-711A-46F1-B2AC-B308231AC0B6}"/>
    <cellStyle name="Normal 5 2 2 2 3 2 8" xfId="1315" xr:uid="{C20B7210-9767-4A1E-BE2A-9F00EC946CBF}"/>
    <cellStyle name="Normal 5 2 2 2 3 3" xfId="896" xr:uid="{00000000-0005-0000-0000-0000E1020000}"/>
    <cellStyle name="Normal 5 2 2 2 3 3 2" xfId="3958" xr:uid="{DC28E57F-50E9-4862-90C1-541E572CEE02}"/>
    <cellStyle name="Normal 5 2 2 2 3 3 2 2" xfId="8176" xr:uid="{0E78E6FA-5264-4405-A191-23C3F5283B5D}"/>
    <cellStyle name="Normal 5 2 2 2 3 3 3" xfId="6031" xr:uid="{E63302DB-B3FA-4973-8E6E-EEC9EBDD1B50}"/>
    <cellStyle name="Normal 5 2 2 2 3 3 4" xfId="1729" xr:uid="{BC0DEDC3-2545-4A2C-80D5-5F9600BD3076}"/>
    <cellStyle name="Normal 5 2 2 2 3 4" xfId="2142" xr:uid="{A97578B5-3911-4F5D-9B0E-E082F1D8DF7D}"/>
    <cellStyle name="Normal 5 2 2 2 3 4 2" xfId="4371" xr:uid="{2AC15B7D-5E83-4E77-97F4-432C69DA4CD6}"/>
    <cellStyle name="Normal 5 2 2 2 3 4 2 2" xfId="8589" xr:uid="{AF02C4C3-08DD-4DF1-8355-5C7361E351D6}"/>
    <cellStyle name="Normal 5 2 2 2 3 4 3" xfId="6444" xr:uid="{745D28E7-A775-41AC-864B-8F33FA093F1D}"/>
    <cellStyle name="Normal 5 2 2 2 3 5" xfId="2555" xr:uid="{506577D9-6087-4A5E-8EA7-858E9DC5BDD1}"/>
    <cellStyle name="Normal 5 2 2 2 3 5 2" xfId="4784" xr:uid="{9951E43A-55D6-402E-B7FC-AA250B2D657E}"/>
    <cellStyle name="Normal 5 2 2 2 3 5 2 2" xfId="9002" xr:uid="{9DC43A45-F4E3-4B4F-A520-2CBBF95116F7}"/>
    <cellStyle name="Normal 5 2 2 2 3 5 3" xfId="6857" xr:uid="{2EA5A06E-C51D-4295-ACB2-DF5D9B83F4E0}"/>
    <cellStyle name="Normal 5 2 2 2 3 6" xfId="2968" xr:uid="{2C0D080E-C91D-45AD-B492-21FCB0DAAC95}"/>
    <cellStyle name="Normal 5 2 2 2 3 6 2" xfId="5197" xr:uid="{BB59F0ED-CEA6-4A5C-83D7-856FBBD9A023}"/>
    <cellStyle name="Normal 5 2 2 2 3 6 2 2" xfId="9415" xr:uid="{9934DF51-6748-45E3-9A98-0A2CE1527371}"/>
    <cellStyle name="Normal 5 2 2 2 3 6 3" xfId="7270" xr:uid="{C2C7E162-C12F-491A-AE03-493561CC9C98}"/>
    <cellStyle name="Normal 5 2 2 2 3 7" xfId="3404" xr:uid="{FFF77809-13A3-4240-A03B-E8EF2C416938}"/>
    <cellStyle name="Normal 5 2 2 2 3 7 2" xfId="7683" xr:uid="{BA178F43-4911-4B49-95BF-02D616AE2101}"/>
    <cellStyle name="Normal 5 2 2 2 3 8" xfId="5618" xr:uid="{82468793-877D-40C8-A87F-C18F0EB39B35}"/>
    <cellStyle name="Normal 5 2 2 2 3 9" xfId="1314" xr:uid="{650A836D-D201-4993-BF32-8B88388E902E}"/>
    <cellStyle name="Normal 5 2 2 2 4" xfId="419" xr:uid="{00000000-0005-0000-0000-0000E2020000}"/>
    <cellStyle name="Normal 5 2 2 2 4 2" xfId="898" xr:uid="{00000000-0005-0000-0000-0000E3020000}"/>
    <cellStyle name="Normal 5 2 2 2 4 2 2" xfId="3960" xr:uid="{7960C936-D1DF-423E-94AF-79E2DAF44487}"/>
    <cellStyle name="Normal 5 2 2 2 4 2 2 2" xfId="8178" xr:uid="{3E3491DC-5311-4570-956D-2E11ADE7BD04}"/>
    <cellStyle name="Normal 5 2 2 2 4 2 3" xfId="6033" xr:uid="{00549A40-7082-4C0A-A154-ECCA74F13A55}"/>
    <cellStyle name="Normal 5 2 2 2 4 2 4" xfId="1731" xr:uid="{D6FE57F0-1EEE-4E38-9224-ECD6E92E88B9}"/>
    <cellStyle name="Normal 5 2 2 2 4 3" xfId="2144" xr:uid="{5E04EF3D-687B-4943-AB99-F24594835BDD}"/>
    <cellStyle name="Normal 5 2 2 2 4 3 2" xfId="4373" xr:uid="{48DE90DB-0D7B-44A3-850B-586E2FDAED8E}"/>
    <cellStyle name="Normal 5 2 2 2 4 3 2 2" xfId="8591" xr:uid="{0906D026-F70B-45A2-94CA-E31F286DE819}"/>
    <cellStyle name="Normal 5 2 2 2 4 3 3" xfId="6446" xr:uid="{72716B6F-C0BC-4336-B018-01DC89EB3012}"/>
    <cellStyle name="Normal 5 2 2 2 4 4" xfId="2557" xr:uid="{38927D83-3AA5-42C1-A683-7296F1BFB2D0}"/>
    <cellStyle name="Normal 5 2 2 2 4 4 2" xfId="4786" xr:uid="{61C4B034-87A0-49B6-BBD9-2B8E9B85C056}"/>
    <cellStyle name="Normal 5 2 2 2 4 4 2 2" xfId="9004" xr:uid="{2CA28F63-BDC0-4B5E-8D0B-34A1E7E98DDD}"/>
    <cellStyle name="Normal 5 2 2 2 4 4 3" xfId="6859" xr:uid="{BC146D9C-9129-47DD-B690-62D3F98663D9}"/>
    <cellStyle name="Normal 5 2 2 2 4 5" xfId="2970" xr:uid="{BF087D36-7047-4A7F-AE72-62FE441B5FB2}"/>
    <cellStyle name="Normal 5 2 2 2 4 5 2" xfId="5199" xr:uid="{B8239531-3AAD-4D9C-AB35-68EF6C36EDAC}"/>
    <cellStyle name="Normal 5 2 2 2 4 5 2 2" xfId="9417" xr:uid="{EE0D0F4E-DD05-423E-BA53-139BA54E5FFE}"/>
    <cellStyle name="Normal 5 2 2 2 4 5 3" xfId="7272" xr:uid="{94A0F84F-1F61-4B74-9B13-419FF7D5AE55}"/>
    <cellStyle name="Normal 5 2 2 2 4 6" xfId="3406" xr:uid="{6AC56B99-4D72-49EB-9A5A-D80ABCA00591}"/>
    <cellStyle name="Normal 5 2 2 2 4 6 2" xfId="7685" xr:uid="{ADF85549-FDE4-4033-9FDC-47FE20E88CBE}"/>
    <cellStyle name="Normal 5 2 2 2 4 7" xfId="5620" xr:uid="{4925458B-2847-4E24-AA8D-E857D3DBAC11}"/>
    <cellStyle name="Normal 5 2 2 2 4 8" xfId="1316" xr:uid="{CFA36C31-E1E7-426B-ABEE-62D48F5449A7}"/>
    <cellStyle name="Normal 5 2 2 2 5" xfId="891" xr:uid="{00000000-0005-0000-0000-0000E4020000}"/>
    <cellStyle name="Normal 5 2 2 2 5 2" xfId="3953" xr:uid="{DFA8F64D-010E-4BD2-AA12-0C49D09F3D6E}"/>
    <cellStyle name="Normal 5 2 2 2 5 2 2" xfId="8171" xr:uid="{446952BC-C82E-44A8-B402-475D2AE3F6CB}"/>
    <cellStyle name="Normal 5 2 2 2 5 3" xfId="6026" xr:uid="{7E002C03-4DDE-411F-B9EB-662612C86D75}"/>
    <cellStyle name="Normal 5 2 2 2 5 4" xfId="1724" xr:uid="{AB5B1646-E67E-4EFA-8025-874C572CFB0D}"/>
    <cellStyle name="Normal 5 2 2 2 6" xfId="2137" xr:uid="{E0CC6678-8FC3-4637-B2B3-532EA7A8908E}"/>
    <cellStyle name="Normal 5 2 2 2 6 2" xfId="4366" xr:uid="{3BDF4E91-C0D4-4541-B109-870ABF18D240}"/>
    <cellStyle name="Normal 5 2 2 2 6 2 2" xfId="8584" xr:uid="{4029E632-931E-43FE-865E-740063DC5A57}"/>
    <cellStyle name="Normal 5 2 2 2 6 3" xfId="6439" xr:uid="{A3732982-E4B6-4B23-A948-8B07A9E72060}"/>
    <cellStyle name="Normal 5 2 2 2 7" xfId="2550" xr:uid="{4921D5CF-861B-4209-8D4D-D222C97F256D}"/>
    <cellStyle name="Normal 5 2 2 2 7 2" xfId="4779" xr:uid="{561DEF45-6D5A-4202-84FF-927A15AAF8A9}"/>
    <cellStyle name="Normal 5 2 2 2 7 2 2" xfId="8997" xr:uid="{00A1E3C8-BB57-4AD9-8E4F-0DA81AAD0BC2}"/>
    <cellStyle name="Normal 5 2 2 2 7 3" xfId="6852" xr:uid="{16C617C3-A5E3-4956-A4F8-B57A743C49F2}"/>
    <cellStyle name="Normal 5 2 2 2 8" xfId="2963" xr:uid="{85157ACB-289F-492B-9AAB-2CA7764F37B2}"/>
    <cellStyle name="Normal 5 2 2 2 8 2" xfId="5192" xr:uid="{8DEEC2C8-9E14-4874-94AC-F44142D66AE9}"/>
    <cellStyle name="Normal 5 2 2 2 8 2 2" xfId="9410" xr:uid="{F4594238-E319-4182-9F2F-14B41E76FC07}"/>
    <cellStyle name="Normal 5 2 2 2 8 3" xfId="7265" xr:uid="{854B9C31-1F5C-49C1-8AA7-8E499CA9B23D}"/>
    <cellStyle name="Normal 5 2 2 2 9" xfId="3399" xr:uid="{B4E381A0-DF1C-4CFB-8CBA-8E1DA0FA7A7C}"/>
    <cellStyle name="Normal 5 2 2 2 9 2" xfId="7678" xr:uid="{A621B5E1-9563-4538-8A67-19096CF86840}"/>
    <cellStyle name="Normal 5 2 2 3" xfId="420" xr:uid="{00000000-0005-0000-0000-0000E5020000}"/>
    <cellStyle name="Normal 5 2 2 3 10" xfId="1317" xr:uid="{92344181-FFE0-4CC1-A5E8-FC5F5AE4662E}"/>
    <cellStyle name="Normal 5 2 2 3 2" xfId="421" xr:uid="{00000000-0005-0000-0000-0000E6020000}"/>
    <cellStyle name="Normal 5 2 2 3 2 2" xfId="422" xr:uid="{00000000-0005-0000-0000-0000E7020000}"/>
    <cellStyle name="Normal 5 2 2 3 2 2 2" xfId="901" xr:uid="{00000000-0005-0000-0000-0000E8020000}"/>
    <cellStyle name="Normal 5 2 2 3 2 2 2 2" xfId="3963" xr:uid="{F991DC8A-F127-4773-8397-0072809E6BC6}"/>
    <cellStyle name="Normal 5 2 2 3 2 2 2 2 2" xfId="8181" xr:uid="{ADB13418-CEB7-4DAE-A1C2-A630DC535FAB}"/>
    <cellStyle name="Normal 5 2 2 3 2 2 2 3" xfId="6036" xr:uid="{33FB98ED-86EB-4963-98A6-5E67213D3AEA}"/>
    <cellStyle name="Normal 5 2 2 3 2 2 2 4" xfId="1734" xr:uid="{A6208A37-0924-4DDC-A9E3-5EE0DE14ECD1}"/>
    <cellStyle name="Normal 5 2 2 3 2 2 3" xfId="2147" xr:uid="{C41F2205-C9E3-4E1E-9772-C84B5FEA5EB8}"/>
    <cellStyle name="Normal 5 2 2 3 2 2 3 2" xfId="4376" xr:uid="{A2A6C9C7-7C97-4BD5-BBCB-ECB377D40FF9}"/>
    <cellStyle name="Normal 5 2 2 3 2 2 3 2 2" xfId="8594" xr:uid="{08582A46-DC35-4299-8B05-88AC3B47C10C}"/>
    <cellStyle name="Normal 5 2 2 3 2 2 3 3" xfId="6449" xr:uid="{1568BBDD-980B-43FB-A81D-013E3A2466EF}"/>
    <cellStyle name="Normal 5 2 2 3 2 2 4" xfId="2560" xr:uid="{46D81325-D92B-4232-9D97-FAA587D001A5}"/>
    <cellStyle name="Normal 5 2 2 3 2 2 4 2" xfId="4789" xr:uid="{7CA291CD-2FAC-4260-AE56-3A56D16CE24E}"/>
    <cellStyle name="Normal 5 2 2 3 2 2 4 2 2" xfId="9007" xr:uid="{BF02B472-58C2-4FA5-81CA-01FEFC666535}"/>
    <cellStyle name="Normal 5 2 2 3 2 2 4 3" xfId="6862" xr:uid="{B042BFAA-2D87-4ABF-B308-94DB60D0DDD6}"/>
    <cellStyle name="Normal 5 2 2 3 2 2 5" xfId="2973" xr:uid="{E8573B6B-3D6F-4C07-AA2E-078CCCB5ED28}"/>
    <cellStyle name="Normal 5 2 2 3 2 2 5 2" xfId="5202" xr:uid="{7B6CA4E9-3BBD-4B18-9F01-4406D6B390DA}"/>
    <cellStyle name="Normal 5 2 2 3 2 2 5 2 2" xfId="9420" xr:uid="{57FB2E57-B9EE-4D36-8217-5CDD4F4DDFC6}"/>
    <cellStyle name="Normal 5 2 2 3 2 2 5 3" xfId="7275" xr:uid="{A5288D58-66D0-4C89-8910-80ABFEE3BC80}"/>
    <cellStyle name="Normal 5 2 2 3 2 2 6" xfId="3409" xr:uid="{0BC6EFAE-9CDC-429F-A7BB-37B33CDCE17C}"/>
    <cellStyle name="Normal 5 2 2 3 2 2 6 2" xfId="7688" xr:uid="{E6C29AFC-C106-4252-B4DD-6FD35AFEE8E5}"/>
    <cellStyle name="Normal 5 2 2 3 2 2 7" xfId="5623" xr:uid="{2AEF4FCD-DCF7-4440-9C31-68C51D7817AE}"/>
    <cellStyle name="Normal 5 2 2 3 2 2 8" xfId="1319" xr:uid="{E3813237-0629-433F-AA15-268795ACC5D5}"/>
    <cellStyle name="Normal 5 2 2 3 2 3" xfId="900" xr:uid="{00000000-0005-0000-0000-0000E9020000}"/>
    <cellStyle name="Normal 5 2 2 3 2 3 2" xfId="3962" xr:uid="{1D894A62-CD7E-43DE-B110-8A415D1C051F}"/>
    <cellStyle name="Normal 5 2 2 3 2 3 2 2" xfId="8180" xr:uid="{B7B0D1F7-31B6-45D4-B975-D325E5CEE753}"/>
    <cellStyle name="Normal 5 2 2 3 2 3 3" xfId="6035" xr:uid="{2EC31FF2-E4EB-4305-8271-6A7069411081}"/>
    <cellStyle name="Normal 5 2 2 3 2 3 4" xfId="1733" xr:uid="{B40282DB-D714-44B8-B4A8-55EDD28F4CED}"/>
    <cellStyle name="Normal 5 2 2 3 2 4" xfId="2146" xr:uid="{FFA53CA2-5343-48B1-A78C-406E7CB72996}"/>
    <cellStyle name="Normal 5 2 2 3 2 4 2" xfId="4375" xr:uid="{4054AA6D-D685-417B-A5A8-78868C3649C7}"/>
    <cellStyle name="Normal 5 2 2 3 2 4 2 2" xfId="8593" xr:uid="{BD1119DC-009B-4EF0-BD8C-D2E511316213}"/>
    <cellStyle name="Normal 5 2 2 3 2 4 3" xfId="6448" xr:uid="{E1035E63-3B3B-4207-9E2D-32CEEE61A48D}"/>
    <cellStyle name="Normal 5 2 2 3 2 5" xfId="2559" xr:uid="{DD0CC1A8-3F74-4992-9AD2-DE585A1F1D96}"/>
    <cellStyle name="Normal 5 2 2 3 2 5 2" xfId="4788" xr:uid="{CBB04221-094C-437F-BD5D-AB7C644E9FCE}"/>
    <cellStyle name="Normal 5 2 2 3 2 5 2 2" xfId="9006" xr:uid="{8B528C90-8491-4378-90C5-17B1131F0FD1}"/>
    <cellStyle name="Normal 5 2 2 3 2 5 3" xfId="6861" xr:uid="{F12A8D66-80F0-473A-B8C4-D3FC2EF76313}"/>
    <cellStyle name="Normal 5 2 2 3 2 6" xfId="2972" xr:uid="{865EC9F8-F934-4AF8-A1BC-370A4F6C4BD3}"/>
    <cellStyle name="Normal 5 2 2 3 2 6 2" xfId="5201" xr:uid="{FEAA0A98-46F2-4DBF-89B5-2AB15AACFB31}"/>
    <cellStyle name="Normal 5 2 2 3 2 6 2 2" xfId="9419" xr:uid="{513DEBA2-C8D6-45D1-96D1-F0A627FB3A0F}"/>
    <cellStyle name="Normal 5 2 2 3 2 6 3" xfId="7274" xr:uid="{B2EEFC14-F5F6-421C-B42D-B4B4FD73B9D6}"/>
    <cellStyle name="Normal 5 2 2 3 2 7" xfId="3408" xr:uid="{2442877E-4D68-4D1E-A1B4-9B1C31426554}"/>
    <cellStyle name="Normal 5 2 2 3 2 7 2" xfId="7687" xr:uid="{B7B630D5-890D-4030-822B-17D72E3C8CF9}"/>
    <cellStyle name="Normal 5 2 2 3 2 8" xfId="5622" xr:uid="{FB978C15-0C63-4102-834A-9CFFD7363EB6}"/>
    <cellStyle name="Normal 5 2 2 3 2 9" xfId="1318" xr:uid="{26972E60-83F2-442C-B39A-BDC47D8A3B32}"/>
    <cellStyle name="Normal 5 2 2 3 3" xfId="423" xr:uid="{00000000-0005-0000-0000-0000EA020000}"/>
    <cellStyle name="Normal 5 2 2 3 3 2" xfId="902" xr:uid="{00000000-0005-0000-0000-0000EB020000}"/>
    <cellStyle name="Normal 5 2 2 3 3 2 2" xfId="3964" xr:uid="{27A0855B-26BA-4FCE-B245-5966F73C4EC8}"/>
    <cellStyle name="Normal 5 2 2 3 3 2 2 2" xfId="8182" xr:uid="{5C8B9EDC-D9F2-4CEA-A42A-53E00EC1A905}"/>
    <cellStyle name="Normal 5 2 2 3 3 2 3" xfId="6037" xr:uid="{3FC207F6-926A-4AEC-8554-0F9C2FDC9582}"/>
    <cellStyle name="Normal 5 2 2 3 3 2 4" xfId="1735" xr:uid="{4C0A6396-1A7F-40A6-8265-C92E7358A333}"/>
    <cellStyle name="Normal 5 2 2 3 3 3" xfId="2148" xr:uid="{A43ABAC6-DDD0-4AFA-A5F6-9ABC2F03D580}"/>
    <cellStyle name="Normal 5 2 2 3 3 3 2" xfId="4377" xr:uid="{34EB16BC-3774-423E-8F40-1BFAF491DE55}"/>
    <cellStyle name="Normal 5 2 2 3 3 3 2 2" xfId="8595" xr:uid="{02C4CB32-33A6-406D-839F-EFDD5356350A}"/>
    <cellStyle name="Normal 5 2 2 3 3 3 3" xfId="6450" xr:uid="{21108176-5DA1-409A-948E-24CB36294248}"/>
    <cellStyle name="Normal 5 2 2 3 3 4" xfId="2561" xr:uid="{FF31762B-6B86-423A-A9D0-94F4998E0B72}"/>
    <cellStyle name="Normal 5 2 2 3 3 4 2" xfId="4790" xr:uid="{F3467BDE-78A3-4872-83A2-92DBFD502D41}"/>
    <cellStyle name="Normal 5 2 2 3 3 4 2 2" xfId="9008" xr:uid="{E56F650D-D4B4-4F1B-A51C-ABBD7F793C7E}"/>
    <cellStyle name="Normal 5 2 2 3 3 4 3" xfId="6863" xr:uid="{C7AA2299-D8DD-4F3E-9A78-CD5FB178E832}"/>
    <cellStyle name="Normal 5 2 2 3 3 5" xfId="2974" xr:uid="{6AC4AEBE-7314-4909-A4E4-C703F18C2298}"/>
    <cellStyle name="Normal 5 2 2 3 3 5 2" xfId="5203" xr:uid="{9C493A01-7BB5-44AB-B95F-C59284A52275}"/>
    <cellStyle name="Normal 5 2 2 3 3 5 2 2" xfId="9421" xr:uid="{89EB8871-5E01-4B00-AF29-04DE584DE71D}"/>
    <cellStyle name="Normal 5 2 2 3 3 5 3" xfId="7276" xr:uid="{C887C20E-920B-4D59-8D55-0A2AAD55EEA1}"/>
    <cellStyle name="Normal 5 2 2 3 3 6" xfId="3410" xr:uid="{2AFA9570-DDCD-4772-B46A-315406C9AFB7}"/>
    <cellStyle name="Normal 5 2 2 3 3 6 2" xfId="7689" xr:uid="{5A6BBB1C-42FA-4773-B6AA-5AAA2952F9F9}"/>
    <cellStyle name="Normal 5 2 2 3 3 7" xfId="5624" xr:uid="{FB2A539C-04B5-4FBF-9D01-995175FE97E7}"/>
    <cellStyle name="Normal 5 2 2 3 3 8" xfId="1320" xr:uid="{48951645-7285-457F-8BFC-0537FD735D37}"/>
    <cellStyle name="Normal 5 2 2 3 4" xfId="899" xr:uid="{00000000-0005-0000-0000-0000EC020000}"/>
    <cellStyle name="Normal 5 2 2 3 4 2" xfId="3961" xr:uid="{42A39D0D-A7A5-4588-BECE-714182F319F3}"/>
    <cellStyle name="Normal 5 2 2 3 4 2 2" xfId="8179" xr:uid="{55CAE7C6-37D7-4A97-B9D0-A3407D7044B6}"/>
    <cellStyle name="Normal 5 2 2 3 4 3" xfId="6034" xr:uid="{CAD62CA2-CBAE-4789-8E78-2AC50F6419A3}"/>
    <cellStyle name="Normal 5 2 2 3 4 4" xfId="1732" xr:uid="{079200D4-0EB7-46AF-92F7-03091FE72C49}"/>
    <cellStyle name="Normal 5 2 2 3 5" xfId="2145" xr:uid="{E7D94698-4F2A-432C-8CD7-A43BB1C454E1}"/>
    <cellStyle name="Normal 5 2 2 3 5 2" xfId="4374" xr:uid="{805C2311-33C8-4695-854E-3196A4DFB9C0}"/>
    <cellStyle name="Normal 5 2 2 3 5 2 2" xfId="8592" xr:uid="{A64F838D-2AAB-4AF7-8574-050DD80F9A2F}"/>
    <cellStyle name="Normal 5 2 2 3 5 3" xfId="6447" xr:uid="{7F225FED-1A2A-452A-94A0-1302901B02E5}"/>
    <cellStyle name="Normal 5 2 2 3 6" xfId="2558" xr:uid="{A3A8041A-4BCD-4F41-B9FD-73DE956655A7}"/>
    <cellStyle name="Normal 5 2 2 3 6 2" xfId="4787" xr:uid="{6ED6802A-E4BB-417C-AF1B-8D62EE24F89B}"/>
    <cellStyle name="Normal 5 2 2 3 6 2 2" xfId="9005" xr:uid="{206E5437-56F1-46B7-9DFA-12B9DEFB8367}"/>
    <cellStyle name="Normal 5 2 2 3 6 3" xfId="6860" xr:uid="{25E95C90-C779-4096-ACF9-B80CB6C14BB4}"/>
    <cellStyle name="Normal 5 2 2 3 7" xfId="2971" xr:uid="{7314FD60-3E47-4E36-B3AD-F4C440FDC818}"/>
    <cellStyle name="Normal 5 2 2 3 7 2" xfId="5200" xr:uid="{FA35697E-6FA4-4D34-B679-47C372820B13}"/>
    <cellStyle name="Normal 5 2 2 3 7 2 2" xfId="9418" xr:uid="{6112CA70-9DC0-4E55-9ADB-94124B91401C}"/>
    <cellStyle name="Normal 5 2 2 3 7 3" xfId="7273" xr:uid="{6F3E38E1-AF1E-4898-BC3B-12FA2C1B1D6D}"/>
    <cellStyle name="Normal 5 2 2 3 8" xfId="3407" xr:uid="{0385FF1F-9A6A-4DCF-BA30-51756366F84E}"/>
    <cellStyle name="Normal 5 2 2 3 8 2" xfId="7686" xr:uid="{2DD0EB9D-511D-409D-951F-DE573879C726}"/>
    <cellStyle name="Normal 5 2 2 3 9" xfId="5621" xr:uid="{050864B9-DE86-4189-AE12-9DB137A9F209}"/>
    <cellStyle name="Normal 5 2 2 4" xfId="424" xr:uid="{00000000-0005-0000-0000-0000ED020000}"/>
    <cellStyle name="Normal 5 2 2 4 2" xfId="425" xr:uid="{00000000-0005-0000-0000-0000EE020000}"/>
    <cellStyle name="Normal 5 2 2 4 2 2" xfId="904" xr:uid="{00000000-0005-0000-0000-0000EF020000}"/>
    <cellStyle name="Normal 5 2 2 4 2 2 2" xfId="3966" xr:uid="{6D02D871-8164-43E3-BFA5-F41F6195A28B}"/>
    <cellStyle name="Normal 5 2 2 4 2 2 2 2" xfId="8184" xr:uid="{E20CD1B4-9C24-4FC7-BF22-CEE58B3565A4}"/>
    <cellStyle name="Normal 5 2 2 4 2 2 3" xfId="6039" xr:uid="{9C59FA4E-A371-4AE8-B952-1E8DE0F0597A}"/>
    <cellStyle name="Normal 5 2 2 4 2 2 4" xfId="1737" xr:uid="{ECC79108-0A87-4E8B-BF44-4A310CD5B5F4}"/>
    <cellStyle name="Normal 5 2 2 4 2 3" xfId="2150" xr:uid="{CB505F9D-D64D-44A9-8CEB-EA05FB478120}"/>
    <cellStyle name="Normal 5 2 2 4 2 3 2" xfId="4379" xr:uid="{2CF38781-15B9-4BAE-9F5D-2165274582E6}"/>
    <cellStyle name="Normal 5 2 2 4 2 3 2 2" xfId="8597" xr:uid="{941A54DE-FC6E-4C67-B26B-984EC2EC7A42}"/>
    <cellStyle name="Normal 5 2 2 4 2 3 3" xfId="6452" xr:uid="{8C4961DA-7DD5-4498-A4C1-346BBE09FDBA}"/>
    <cellStyle name="Normal 5 2 2 4 2 4" xfId="2563" xr:uid="{EF1936F9-8DA5-45BB-9A73-2EC94ECB39AC}"/>
    <cellStyle name="Normal 5 2 2 4 2 4 2" xfId="4792" xr:uid="{FCC402C2-C9BA-4851-9C69-53074F5C9E0D}"/>
    <cellStyle name="Normal 5 2 2 4 2 4 2 2" xfId="9010" xr:uid="{50D3DC3E-F800-4D37-B3AD-BB790BE173AA}"/>
    <cellStyle name="Normal 5 2 2 4 2 4 3" xfId="6865" xr:uid="{EB64698C-3372-47E2-ADC9-7551A02160D8}"/>
    <cellStyle name="Normal 5 2 2 4 2 5" xfId="2976" xr:uid="{AE1CE973-8D7A-4E3E-9862-37876918D7E7}"/>
    <cellStyle name="Normal 5 2 2 4 2 5 2" xfId="5205" xr:uid="{B52E71BB-E3BE-42D5-A98C-9881479F441D}"/>
    <cellStyle name="Normal 5 2 2 4 2 5 2 2" xfId="9423" xr:uid="{E0781E2F-EEBC-459C-98D1-027A08A272C9}"/>
    <cellStyle name="Normal 5 2 2 4 2 5 3" xfId="7278" xr:uid="{15B9E352-4B84-4A7A-A3DC-76B2EC456C91}"/>
    <cellStyle name="Normal 5 2 2 4 2 6" xfId="3412" xr:uid="{DDEFA403-403A-43BF-8088-4ADF858B3D0A}"/>
    <cellStyle name="Normal 5 2 2 4 2 6 2" xfId="7691" xr:uid="{F67E8C8D-C3A8-452B-B304-F95540D06106}"/>
    <cellStyle name="Normal 5 2 2 4 2 7" xfId="5626" xr:uid="{D703DC32-5B01-4570-A708-FF3D3B38AB11}"/>
    <cellStyle name="Normal 5 2 2 4 2 8" xfId="1322" xr:uid="{B5185F54-2C88-47BB-872B-E75053F57867}"/>
    <cellStyle name="Normal 5 2 2 4 3" xfId="903" xr:uid="{00000000-0005-0000-0000-0000F0020000}"/>
    <cellStyle name="Normal 5 2 2 4 3 2" xfId="3965" xr:uid="{6D3A2EA2-3F95-4438-8325-F11CCFC8017F}"/>
    <cellStyle name="Normal 5 2 2 4 3 2 2" xfId="8183" xr:uid="{EA6A14B8-D02E-48D7-8F82-0ADCAD44EAB9}"/>
    <cellStyle name="Normal 5 2 2 4 3 3" xfId="6038" xr:uid="{8450139B-806B-430B-BB6A-00CCB2BDCA67}"/>
    <cellStyle name="Normal 5 2 2 4 3 4" xfId="1736" xr:uid="{174057AA-D921-4DF8-BAFC-A346289D82D5}"/>
    <cellStyle name="Normal 5 2 2 4 4" xfId="2149" xr:uid="{5338B84A-22C1-4698-B67B-14420738A177}"/>
    <cellStyle name="Normal 5 2 2 4 4 2" xfId="4378" xr:uid="{9832134D-368A-4D89-B518-9FCE7C4D9E4F}"/>
    <cellStyle name="Normal 5 2 2 4 4 2 2" xfId="8596" xr:uid="{91AAD923-407B-4A5D-A3B8-DAC8276D282D}"/>
    <cellStyle name="Normal 5 2 2 4 4 3" xfId="6451" xr:uid="{3BFD877A-7C3C-4345-A02D-119BA1D077A0}"/>
    <cellStyle name="Normal 5 2 2 4 5" xfId="2562" xr:uid="{FDD6C489-6975-4F53-9293-F80FD567F44C}"/>
    <cellStyle name="Normal 5 2 2 4 5 2" xfId="4791" xr:uid="{F8546A35-2F70-4F47-A484-4A03AFE1B395}"/>
    <cellStyle name="Normal 5 2 2 4 5 2 2" xfId="9009" xr:uid="{64AC48A5-BEC7-4434-A21E-61EF8E375F2D}"/>
    <cellStyle name="Normal 5 2 2 4 5 3" xfId="6864" xr:uid="{3F70A3E7-3B41-4434-B4AD-30F10EFD87E6}"/>
    <cellStyle name="Normal 5 2 2 4 6" xfId="2975" xr:uid="{E2284211-8864-4A14-B4FC-EA647070061F}"/>
    <cellStyle name="Normal 5 2 2 4 6 2" xfId="5204" xr:uid="{4DBFB737-F7DF-47AE-BE07-C7F077525685}"/>
    <cellStyle name="Normal 5 2 2 4 6 2 2" xfId="9422" xr:uid="{ADDCA42A-6FB8-424E-993E-8C03E3F2DF69}"/>
    <cellStyle name="Normal 5 2 2 4 6 3" xfId="7277" xr:uid="{36175CA8-0AFE-4994-B928-1C626B7537D2}"/>
    <cellStyle name="Normal 5 2 2 4 7" xfId="3411" xr:uid="{63905115-A102-4BB4-8228-4ECFD29AFDF2}"/>
    <cellStyle name="Normal 5 2 2 4 7 2" xfId="7690" xr:uid="{C60201AF-F3E3-4F02-8CEE-05033454A03F}"/>
    <cellStyle name="Normal 5 2 2 4 8" xfId="5625" xr:uid="{4A475914-2CE0-468B-B4F6-B68D9EC8EF17}"/>
    <cellStyle name="Normal 5 2 2 4 9" xfId="1321" xr:uid="{4505BDFE-D16D-4081-9FD9-42372416F63E}"/>
    <cellStyle name="Normal 5 2 2 5" xfId="426" xr:uid="{00000000-0005-0000-0000-0000F1020000}"/>
    <cellStyle name="Normal 5 2 2 5 2" xfId="905" xr:uid="{00000000-0005-0000-0000-0000F2020000}"/>
    <cellStyle name="Normal 5 2 2 5 2 2" xfId="3967" xr:uid="{FBDC27E3-4499-43F0-A93B-8ED0BD521731}"/>
    <cellStyle name="Normal 5 2 2 5 2 2 2" xfId="8185" xr:uid="{4E625D4B-B4E6-4307-A786-FB30F1F64E6B}"/>
    <cellStyle name="Normal 5 2 2 5 2 3" xfId="6040" xr:uid="{9C00187A-2841-4A65-9D2D-581247A7DC36}"/>
    <cellStyle name="Normal 5 2 2 5 2 4" xfId="1738" xr:uid="{8CEF483A-BE23-455F-A7F8-1715AB109050}"/>
    <cellStyle name="Normal 5 2 2 5 3" xfId="2151" xr:uid="{C2D6FA52-6A28-4FD9-9DC1-20D12A0FB1C6}"/>
    <cellStyle name="Normal 5 2 2 5 3 2" xfId="4380" xr:uid="{2CDFF5DE-CC41-44E8-B616-2ADDBA0ADCE5}"/>
    <cellStyle name="Normal 5 2 2 5 3 2 2" xfId="8598" xr:uid="{54C706DA-8A28-42F2-99A5-89DDF3F7B28F}"/>
    <cellStyle name="Normal 5 2 2 5 3 3" xfId="6453" xr:uid="{6C63D742-B566-498F-BA76-F805247829A0}"/>
    <cellStyle name="Normal 5 2 2 5 4" xfId="2564" xr:uid="{2068A824-A7E9-46FA-B577-03192BC23C45}"/>
    <cellStyle name="Normal 5 2 2 5 4 2" xfId="4793" xr:uid="{F6BD5D79-5825-4EEA-BE6A-8F7C6EE9DDE4}"/>
    <cellStyle name="Normal 5 2 2 5 4 2 2" xfId="9011" xr:uid="{40141E45-5AB1-4CA4-9EF8-C04F55D5802A}"/>
    <cellStyle name="Normal 5 2 2 5 4 3" xfId="6866" xr:uid="{075833A3-782A-40D1-8DC5-9A0B7F9DCFB5}"/>
    <cellStyle name="Normal 5 2 2 5 5" xfId="2977" xr:uid="{E15B4290-7AC5-428F-A0C4-4983B7AC1969}"/>
    <cellStyle name="Normal 5 2 2 5 5 2" xfId="5206" xr:uid="{4ADEDB74-FB17-486B-AEE6-E5161DC72A6C}"/>
    <cellStyle name="Normal 5 2 2 5 5 2 2" xfId="9424" xr:uid="{06E44661-5591-4898-A2A9-43F412C39818}"/>
    <cellStyle name="Normal 5 2 2 5 5 3" xfId="7279" xr:uid="{169799A5-9643-4B75-8400-AEFD3B1E72A9}"/>
    <cellStyle name="Normal 5 2 2 5 6" xfId="3413" xr:uid="{BFE4C590-309A-472A-8456-479CC50B6C99}"/>
    <cellStyle name="Normal 5 2 2 5 6 2" xfId="7692" xr:uid="{1D89B251-09FD-4BC6-AAA2-32B8F9B1B4D0}"/>
    <cellStyle name="Normal 5 2 2 5 7" xfId="5627" xr:uid="{6FE952F6-59A4-451E-88FB-686F50168797}"/>
    <cellStyle name="Normal 5 2 2 5 8" xfId="1323" xr:uid="{B6338786-5E81-4C0B-9509-6044B3215FC5}"/>
    <cellStyle name="Normal 5 2 2 6" xfId="890" xr:uid="{00000000-0005-0000-0000-0000F3020000}"/>
    <cellStyle name="Normal 5 2 2 6 2" xfId="3952" xr:uid="{A34CAE07-7599-4144-8354-760D2FD9901A}"/>
    <cellStyle name="Normal 5 2 2 6 2 2" xfId="8170" xr:uid="{B16474CA-E1B1-407D-9DF8-4C7CD218F130}"/>
    <cellStyle name="Normal 5 2 2 6 3" xfId="6025" xr:uid="{F532FB41-67F1-48ED-AD95-0DDE51DB2FF2}"/>
    <cellStyle name="Normal 5 2 2 6 4" xfId="1723" xr:uid="{7C5B0429-6F9E-494C-8E57-81D412D645DF}"/>
    <cellStyle name="Normal 5 2 2 7" xfId="2136" xr:uid="{8D94AC9F-7D96-4DE6-80D2-DB176634ED91}"/>
    <cellStyle name="Normal 5 2 2 7 2" xfId="4365" xr:uid="{C88FDFED-0B50-412F-AB66-0F33F8361C4B}"/>
    <cellStyle name="Normal 5 2 2 7 2 2" xfId="8583" xr:uid="{0BEC197A-30BE-44A6-B602-3284E12C3F6B}"/>
    <cellStyle name="Normal 5 2 2 7 3" xfId="6438" xr:uid="{2ED0FD3C-7A28-4650-8293-15EE1DE10A21}"/>
    <cellStyle name="Normal 5 2 2 8" xfId="2549" xr:uid="{9E11EFEF-BA86-4580-B0DB-8DEAC1BE4DA6}"/>
    <cellStyle name="Normal 5 2 2 8 2" xfId="4778" xr:uid="{A40C6C5C-05D6-46BF-B276-C0968DD71ED3}"/>
    <cellStyle name="Normal 5 2 2 8 2 2" xfId="8996" xr:uid="{9B102527-6A66-4E48-B7A6-B17CB8CD9FDE}"/>
    <cellStyle name="Normal 5 2 2 8 3" xfId="6851" xr:uid="{0B62C8DB-2A3F-4634-BC8B-CA79B9745AAF}"/>
    <cellStyle name="Normal 5 2 2 9" xfId="2962" xr:uid="{E68E5CCE-0CF2-427F-9E44-8ACA78CC67DB}"/>
    <cellStyle name="Normal 5 2 2 9 2" xfId="5191" xr:uid="{DB40B604-EE3A-4DDC-9237-87486A75665A}"/>
    <cellStyle name="Normal 5 2 2 9 2 2" xfId="9409" xr:uid="{116B37FE-4E60-4C5A-A5F1-838AE3C39555}"/>
    <cellStyle name="Normal 5 2 2 9 3" xfId="7264" xr:uid="{AC84323D-37C8-4760-96CB-91F992D191C7}"/>
    <cellStyle name="Normal 5 2 3" xfId="427" xr:uid="{00000000-0005-0000-0000-0000F4020000}"/>
    <cellStyle name="Normal 5 2 3 10" xfId="5628" xr:uid="{A36298BE-51E7-4EEF-87A9-27827A82D336}"/>
    <cellStyle name="Normal 5 2 3 11" xfId="1324" xr:uid="{FDC30471-F16E-4163-A281-0F201DC9B7B1}"/>
    <cellStyle name="Normal 5 2 3 2" xfId="428" xr:uid="{00000000-0005-0000-0000-0000F5020000}"/>
    <cellStyle name="Normal 5 2 3 2 10" xfId="1325" xr:uid="{85F31FBA-DB53-4871-A33D-BF935B985ED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3971" xr:uid="{22121135-E068-4E40-892F-4DA8D86CEA2B}"/>
    <cellStyle name="Normal 5 2 3 2 2 2 2 2 2" xfId="8189" xr:uid="{8934B79B-E1B5-470B-B939-C6FFC244DA1E}"/>
    <cellStyle name="Normal 5 2 3 2 2 2 2 3" xfId="6044" xr:uid="{5D613C4C-10AA-44CA-983C-165B77C16328}"/>
    <cellStyle name="Normal 5 2 3 2 2 2 2 4" xfId="1742" xr:uid="{332AE03B-E08E-46AD-9105-7A1A5158BDCA}"/>
    <cellStyle name="Normal 5 2 3 2 2 2 3" xfId="2155" xr:uid="{BE843592-C902-4C30-AA10-C293AB6D6E7A}"/>
    <cellStyle name="Normal 5 2 3 2 2 2 3 2" xfId="4384" xr:uid="{83D05701-A5F2-4EC7-8F4F-BC715593B8F2}"/>
    <cellStyle name="Normal 5 2 3 2 2 2 3 2 2" xfId="8602" xr:uid="{9C98AD57-6757-4912-B1D9-95847DB71F83}"/>
    <cellStyle name="Normal 5 2 3 2 2 2 3 3" xfId="6457" xr:uid="{EA72BD8E-9F97-49CD-913A-D88374B69AB2}"/>
    <cellStyle name="Normal 5 2 3 2 2 2 4" xfId="2568" xr:uid="{1D467655-D90A-42D6-AF15-99A47D0D6483}"/>
    <cellStyle name="Normal 5 2 3 2 2 2 4 2" xfId="4797" xr:uid="{FBA70E23-F131-4E28-8850-204C1776ACEA}"/>
    <cellStyle name="Normal 5 2 3 2 2 2 4 2 2" xfId="9015" xr:uid="{DB259E0E-EFC8-4A45-A28D-59A12625BE53}"/>
    <cellStyle name="Normal 5 2 3 2 2 2 4 3" xfId="6870" xr:uid="{8A0DA308-B1E8-46CE-ADCB-C03D9226E97C}"/>
    <cellStyle name="Normal 5 2 3 2 2 2 5" xfId="2981" xr:uid="{CD22913E-DCB8-47C6-8A3D-476D86B877FB}"/>
    <cellStyle name="Normal 5 2 3 2 2 2 5 2" xfId="5210" xr:uid="{D7AD8D43-71CB-4122-886E-A4BD2E0FBCA8}"/>
    <cellStyle name="Normal 5 2 3 2 2 2 5 2 2" xfId="9428" xr:uid="{F30B0361-4B72-4F23-84FB-C02173FDC2BE}"/>
    <cellStyle name="Normal 5 2 3 2 2 2 5 3" xfId="7283" xr:uid="{76F65BD5-D5E2-4060-84EF-041F57769D43}"/>
    <cellStyle name="Normal 5 2 3 2 2 2 6" xfId="3417" xr:uid="{87BF1596-9CFD-4978-B547-750A37EB9224}"/>
    <cellStyle name="Normal 5 2 3 2 2 2 6 2" xfId="7696" xr:uid="{FE51B9D1-3E68-48C2-84AE-720A30C46A3B}"/>
    <cellStyle name="Normal 5 2 3 2 2 2 7" xfId="5631" xr:uid="{994A7E74-9545-45BC-A997-E0AC1582FBE2}"/>
    <cellStyle name="Normal 5 2 3 2 2 2 8" xfId="1327" xr:uid="{BCFCC3BA-A972-4A95-B011-B2DD4A889F8B}"/>
    <cellStyle name="Normal 5 2 3 2 2 3" xfId="908" xr:uid="{00000000-0005-0000-0000-0000F9020000}"/>
    <cellStyle name="Normal 5 2 3 2 2 3 2" xfId="3970" xr:uid="{40B73E3F-7C6A-4C1E-B8AB-C118773996BB}"/>
    <cellStyle name="Normal 5 2 3 2 2 3 2 2" xfId="8188" xr:uid="{DFA4C3B8-E4F8-47A2-9D36-D4F5D09C1C4E}"/>
    <cellStyle name="Normal 5 2 3 2 2 3 3" xfId="6043" xr:uid="{29CC10CA-9927-490B-8997-328335184CBB}"/>
    <cellStyle name="Normal 5 2 3 2 2 3 4" xfId="1741" xr:uid="{C4645444-FAAB-4F5D-829A-D3F02C89F15E}"/>
    <cellStyle name="Normal 5 2 3 2 2 4" xfId="2154" xr:uid="{4AB1C6B2-9E5E-455E-B340-AB274D8184ED}"/>
    <cellStyle name="Normal 5 2 3 2 2 4 2" xfId="4383" xr:uid="{BD014188-00E2-42C2-BA0A-67835D141459}"/>
    <cellStyle name="Normal 5 2 3 2 2 4 2 2" xfId="8601" xr:uid="{C4929052-4647-40AC-A26C-C372342AA0C5}"/>
    <cellStyle name="Normal 5 2 3 2 2 4 3" xfId="6456" xr:uid="{9B1B1DC5-B4D7-4AFC-A09B-65F280CDB12C}"/>
    <cellStyle name="Normal 5 2 3 2 2 5" xfId="2567" xr:uid="{A773B4E8-51C7-4CB2-A36E-91ED616C6317}"/>
    <cellStyle name="Normal 5 2 3 2 2 5 2" xfId="4796" xr:uid="{881B5BBF-569D-495B-AE39-6384F9ACBE99}"/>
    <cellStyle name="Normal 5 2 3 2 2 5 2 2" xfId="9014" xr:uid="{7209F155-73DB-4D0E-95C2-790DB989A817}"/>
    <cellStyle name="Normal 5 2 3 2 2 5 3" xfId="6869" xr:uid="{B37B77A9-48FD-4672-BDFB-C413E15AAF95}"/>
    <cellStyle name="Normal 5 2 3 2 2 6" xfId="2980" xr:uid="{46E7A686-DA10-4C02-90B8-EAFC9B551D83}"/>
    <cellStyle name="Normal 5 2 3 2 2 6 2" xfId="5209" xr:uid="{BF66A181-63F7-4132-9D71-93759E30C1B5}"/>
    <cellStyle name="Normal 5 2 3 2 2 6 2 2" xfId="9427" xr:uid="{97EB8484-79E3-4371-A77C-E3F03E57DF0F}"/>
    <cellStyle name="Normal 5 2 3 2 2 6 3" xfId="7282" xr:uid="{6CDAAF6E-0740-43B5-9AF2-73BF374C97C0}"/>
    <cellStyle name="Normal 5 2 3 2 2 7" xfId="3416" xr:uid="{A39CA384-963C-425E-87A0-D6EDE3390843}"/>
    <cellStyle name="Normal 5 2 3 2 2 7 2" xfId="7695" xr:uid="{F57CADD3-AE40-4041-B8F4-0B980E3C391F}"/>
    <cellStyle name="Normal 5 2 3 2 2 8" xfId="5630" xr:uid="{88E5040F-557D-4FE3-B61D-9DD9C4CE2582}"/>
    <cellStyle name="Normal 5 2 3 2 2 9" xfId="1326" xr:uid="{FDCBA939-9E7B-46C5-9E08-4E1831169A14}"/>
    <cellStyle name="Normal 5 2 3 2 3" xfId="431" xr:uid="{00000000-0005-0000-0000-0000FA020000}"/>
    <cellStyle name="Normal 5 2 3 2 3 2" xfId="910" xr:uid="{00000000-0005-0000-0000-0000FB020000}"/>
    <cellStyle name="Normal 5 2 3 2 3 2 2" xfId="3972" xr:uid="{A86025DA-EF56-404B-9E83-6469EBE8080F}"/>
    <cellStyle name="Normal 5 2 3 2 3 2 2 2" xfId="8190" xr:uid="{6D19EE36-B55E-40DF-BB03-BFFF40B78F87}"/>
    <cellStyle name="Normal 5 2 3 2 3 2 3" xfId="6045" xr:uid="{6802DBFF-42C2-4E3C-A962-7956FB3A6352}"/>
    <cellStyle name="Normal 5 2 3 2 3 2 4" xfId="1743" xr:uid="{36DB2687-E296-472E-8EAD-C2965F32821A}"/>
    <cellStyle name="Normal 5 2 3 2 3 3" xfId="2156" xr:uid="{6B8DBC9E-FEE9-44BE-B97C-5DF917EB1D59}"/>
    <cellStyle name="Normal 5 2 3 2 3 3 2" xfId="4385" xr:uid="{AABF051B-33BA-4821-BB1B-DF151A2D8775}"/>
    <cellStyle name="Normal 5 2 3 2 3 3 2 2" xfId="8603" xr:uid="{EC89D2C9-73D6-4173-80A9-47935E7B70CF}"/>
    <cellStyle name="Normal 5 2 3 2 3 3 3" xfId="6458" xr:uid="{D7624854-DAFE-4A37-8C1B-E9A5D80A3817}"/>
    <cellStyle name="Normal 5 2 3 2 3 4" xfId="2569" xr:uid="{AC4D64E4-F3C4-4D6E-AD5E-7A3F8C9E81FA}"/>
    <cellStyle name="Normal 5 2 3 2 3 4 2" xfId="4798" xr:uid="{1EC9B42D-5C3A-4353-A4D1-C62F98240E65}"/>
    <cellStyle name="Normal 5 2 3 2 3 4 2 2" xfId="9016" xr:uid="{3FE22D25-F378-4711-9B04-B5A6FBF1E082}"/>
    <cellStyle name="Normal 5 2 3 2 3 4 3" xfId="6871" xr:uid="{FBCC5E33-CB44-40B3-852D-A6AF5BD4BA5A}"/>
    <cellStyle name="Normal 5 2 3 2 3 5" xfId="2982" xr:uid="{9823DA08-D806-4609-A4D9-94E3C5F99793}"/>
    <cellStyle name="Normal 5 2 3 2 3 5 2" xfId="5211" xr:uid="{AA867029-CAC8-48E3-BCC1-0029D18E8F02}"/>
    <cellStyle name="Normal 5 2 3 2 3 5 2 2" xfId="9429" xr:uid="{29EC28DA-817D-4C2B-ACFB-BE8F01010378}"/>
    <cellStyle name="Normal 5 2 3 2 3 5 3" xfId="7284" xr:uid="{40BCB70E-47D8-443B-B355-8ACABC334495}"/>
    <cellStyle name="Normal 5 2 3 2 3 6" xfId="3418" xr:uid="{C3E3FE7D-3367-498F-8F94-67BF980FBAA5}"/>
    <cellStyle name="Normal 5 2 3 2 3 6 2" xfId="7697" xr:uid="{B799C840-54D6-46A6-BD06-E67BC045D8AB}"/>
    <cellStyle name="Normal 5 2 3 2 3 7" xfId="5632" xr:uid="{DD581DDA-E31E-4FC6-A61C-09BCEA7E0697}"/>
    <cellStyle name="Normal 5 2 3 2 3 8" xfId="1328" xr:uid="{A80013F0-60B7-4BA2-B182-B127DA0E2DFC}"/>
    <cellStyle name="Normal 5 2 3 2 4" xfId="907" xr:uid="{00000000-0005-0000-0000-0000FC020000}"/>
    <cellStyle name="Normal 5 2 3 2 4 2" xfId="3969" xr:uid="{3D8D0923-BECB-4E72-A5AA-53898B17E97F}"/>
    <cellStyle name="Normal 5 2 3 2 4 2 2" xfId="8187" xr:uid="{7D25907E-3359-486E-B264-F9188E16F1CC}"/>
    <cellStyle name="Normal 5 2 3 2 4 3" xfId="6042" xr:uid="{A723D8B0-62EE-4A8A-8220-4E1957CD3D3C}"/>
    <cellStyle name="Normal 5 2 3 2 4 4" xfId="1740" xr:uid="{E24F533B-F3B5-4204-AE1E-6787DA99C5FB}"/>
    <cellStyle name="Normal 5 2 3 2 5" xfId="2153" xr:uid="{3507DED2-119B-4549-9C91-699C81903050}"/>
    <cellStyle name="Normal 5 2 3 2 5 2" xfId="4382" xr:uid="{A10DD48F-1237-43DE-A243-05481C78C565}"/>
    <cellStyle name="Normal 5 2 3 2 5 2 2" xfId="8600" xr:uid="{01A5D97D-5C1E-4232-B7AB-431AA008E9EA}"/>
    <cellStyle name="Normal 5 2 3 2 5 3" xfId="6455" xr:uid="{0C6E12FB-1D23-42CD-A1A4-B1B5CA6252B2}"/>
    <cellStyle name="Normal 5 2 3 2 6" xfId="2566" xr:uid="{799B6875-C8E4-4D3B-9813-C5B3A71F02A0}"/>
    <cellStyle name="Normal 5 2 3 2 6 2" xfId="4795" xr:uid="{0482E08A-0299-4334-98B5-69508F3B8C19}"/>
    <cellStyle name="Normal 5 2 3 2 6 2 2" xfId="9013" xr:uid="{824B7FDD-8D83-48EA-AC2F-BA87C38C97C1}"/>
    <cellStyle name="Normal 5 2 3 2 6 3" xfId="6868" xr:uid="{0D28FC05-CF00-4DF9-862C-F85E8F710C00}"/>
    <cellStyle name="Normal 5 2 3 2 7" xfId="2979" xr:uid="{196B90C4-1B50-4343-982C-4A1C42FDD9B1}"/>
    <cellStyle name="Normal 5 2 3 2 7 2" xfId="5208" xr:uid="{8535BC5E-1FD8-4BCE-A2CC-BA769966A5EC}"/>
    <cellStyle name="Normal 5 2 3 2 7 2 2" xfId="9426" xr:uid="{61DF8F9D-C6F5-4E43-8957-9FA99C66B48F}"/>
    <cellStyle name="Normal 5 2 3 2 7 3" xfId="7281" xr:uid="{0D19FF31-B3EA-4583-96F1-8669D3AA9DE3}"/>
    <cellStyle name="Normal 5 2 3 2 8" xfId="3415" xr:uid="{1A06ACA4-8EAA-4199-B98A-BC48EA8E7C88}"/>
    <cellStyle name="Normal 5 2 3 2 8 2" xfId="7694" xr:uid="{E0D2F329-9566-4C8C-BAB1-4BB153C75518}"/>
    <cellStyle name="Normal 5 2 3 2 9" xfId="5629" xr:uid="{7537DEF1-45AE-4E17-97B4-0885F3BA35A9}"/>
    <cellStyle name="Normal 5 2 3 3" xfId="432" xr:uid="{00000000-0005-0000-0000-0000FD020000}"/>
    <cellStyle name="Normal 5 2 3 3 2" xfId="433" xr:uid="{00000000-0005-0000-0000-0000FE020000}"/>
    <cellStyle name="Normal 5 2 3 3 2 2" xfId="912" xr:uid="{00000000-0005-0000-0000-0000FF020000}"/>
    <cellStyle name="Normal 5 2 3 3 2 2 2" xfId="3974" xr:uid="{EF78B3C9-EA67-4C5A-B42A-14E4E0F50115}"/>
    <cellStyle name="Normal 5 2 3 3 2 2 2 2" xfId="8192" xr:uid="{EF91C6C8-215D-48D1-A356-03E706EB426B}"/>
    <cellStyle name="Normal 5 2 3 3 2 2 3" xfId="6047" xr:uid="{C0DD92DA-A164-4728-AAEC-450C2BE03924}"/>
    <cellStyle name="Normal 5 2 3 3 2 2 4" xfId="1745" xr:uid="{B0A194DF-38D7-4450-839F-6C3FE2AA7529}"/>
    <cellStyle name="Normal 5 2 3 3 2 3" xfId="2158" xr:uid="{CE1663A7-0FE4-424E-9088-191DD324460D}"/>
    <cellStyle name="Normal 5 2 3 3 2 3 2" xfId="4387" xr:uid="{7D0584CF-773C-410D-939E-45C91B0BE5BF}"/>
    <cellStyle name="Normal 5 2 3 3 2 3 2 2" xfId="8605" xr:uid="{BF04800C-D080-4FB4-8C96-0A515885C0C5}"/>
    <cellStyle name="Normal 5 2 3 3 2 3 3" xfId="6460" xr:uid="{BED2D023-9368-41B9-966F-A226970AC801}"/>
    <cellStyle name="Normal 5 2 3 3 2 4" xfId="2571" xr:uid="{CCD34919-696E-4E61-B315-0528513839FB}"/>
    <cellStyle name="Normal 5 2 3 3 2 4 2" xfId="4800" xr:uid="{D15937E6-B416-40A1-88B4-F2C3F5F4BECC}"/>
    <cellStyle name="Normal 5 2 3 3 2 4 2 2" xfId="9018" xr:uid="{24195759-80D6-4344-8AF2-AD6D90DE223F}"/>
    <cellStyle name="Normal 5 2 3 3 2 4 3" xfId="6873" xr:uid="{B3D9F245-1A98-4A01-AED8-716A9AACE27A}"/>
    <cellStyle name="Normal 5 2 3 3 2 5" xfId="2984" xr:uid="{04CEBE2C-FBE5-43B1-9411-FE56602A7DE6}"/>
    <cellStyle name="Normal 5 2 3 3 2 5 2" xfId="5213" xr:uid="{533FF04D-E230-475C-8B4A-A91B3C376FB1}"/>
    <cellStyle name="Normal 5 2 3 3 2 5 2 2" xfId="9431" xr:uid="{B4BEED8F-BA9D-4B30-86D0-E68E64F55251}"/>
    <cellStyle name="Normal 5 2 3 3 2 5 3" xfId="7286" xr:uid="{7A3FA03F-0DE1-41C3-8596-BBDA3DF27D63}"/>
    <cellStyle name="Normal 5 2 3 3 2 6" xfId="3420" xr:uid="{45728A90-A158-4CF0-9D7A-B52FD94B053E}"/>
    <cellStyle name="Normal 5 2 3 3 2 6 2" xfId="7699" xr:uid="{A0F10EF4-6951-4D89-A06C-B38342FECE65}"/>
    <cellStyle name="Normal 5 2 3 3 2 7" xfId="5634" xr:uid="{A3096509-7929-492B-ABD3-62CF77693BC0}"/>
    <cellStyle name="Normal 5 2 3 3 2 8" xfId="1330" xr:uid="{1E5B36D7-724D-4E0A-B03C-98D782DA17B3}"/>
    <cellStyle name="Normal 5 2 3 3 3" xfId="911" xr:uid="{00000000-0005-0000-0000-000000030000}"/>
    <cellStyle name="Normal 5 2 3 3 3 2" xfId="3973" xr:uid="{50F07DC3-55DF-412D-932C-9B69891C8D6B}"/>
    <cellStyle name="Normal 5 2 3 3 3 2 2" xfId="8191" xr:uid="{4D310ED7-2185-4EF5-A63A-ACC0CF5D157E}"/>
    <cellStyle name="Normal 5 2 3 3 3 3" xfId="6046" xr:uid="{54747DFB-86BA-40C2-A7AE-9A1956D78D88}"/>
    <cellStyle name="Normal 5 2 3 3 3 4" xfId="1744" xr:uid="{1FA9D0DF-798C-42D7-8A4C-0510FBFE24E8}"/>
    <cellStyle name="Normal 5 2 3 3 4" xfId="2157" xr:uid="{ADD1A44B-F8B3-4FA0-8921-1999A4AAD42B}"/>
    <cellStyle name="Normal 5 2 3 3 4 2" xfId="4386" xr:uid="{10605147-9F52-4FF8-B2C8-4D426360B0E1}"/>
    <cellStyle name="Normal 5 2 3 3 4 2 2" xfId="8604" xr:uid="{741384D0-E56B-4F51-BF25-82284A607815}"/>
    <cellStyle name="Normal 5 2 3 3 4 3" xfId="6459" xr:uid="{F1091F65-F807-4B26-9FA8-AB3FEE0821D4}"/>
    <cellStyle name="Normal 5 2 3 3 5" xfId="2570" xr:uid="{1B3A1E56-001F-4F7C-B643-A11A9B67223B}"/>
    <cellStyle name="Normal 5 2 3 3 5 2" xfId="4799" xr:uid="{170C32A1-E884-46BC-A5E1-990364FAEEDB}"/>
    <cellStyle name="Normal 5 2 3 3 5 2 2" xfId="9017" xr:uid="{E61537D4-E975-4CAB-B3F7-3962B99098A0}"/>
    <cellStyle name="Normal 5 2 3 3 5 3" xfId="6872" xr:uid="{AD73087B-0097-41B1-AC76-DDF224F576DE}"/>
    <cellStyle name="Normal 5 2 3 3 6" xfId="2983" xr:uid="{A80705E8-45ED-4536-952C-3CCBCA4053DD}"/>
    <cellStyle name="Normal 5 2 3 3 6 2" xfId="5212" xr:uid="{7916795D-2966-4877-AC88-B258472092DB}"/>
    <cellStyle name="Normal 5 2 3 3 6 2 2" xfId="9430" xr:uid="{D9E95D6F-BCF9-4607-B511-7927BCC9835A}"/>
    <cellStyle name="Normal 5 2 3 3 6 3" xfId="7285" xr:uid="{E2BDFA0B-B2AD-4A24-8175-7E40C450826C}"/>
    <cellStyle name="Normal 5 2 3 3 7" xfId="3419" xr:uid="{3B147086-51B5-4B1D-94BD-D69AEBA6E00D}"/>
    <cellStyle name="Normal 5 2 3 3 7 2" xfId="7698" xr:uid="{12F6A9B4-551D-4937-9B80-A5D3ED09AD6D}"/>
    <cellStyle name="Normal 5 2 3 3 8" xfId="5633" xr:uid="{0C1FC4F8-E183-4097-ABEB-566C096EE24B}"/>
    <cellStyle name="Normal 5 2 3 3 9" xfId="1329" xr:uid="{5B9760F5-F7A2-4553-B1AD-E954DAD9EB87}"/>
    <cellStyle name="Normal 5 2 3 4" xfId="434" xr:uid="{00000000-0005-0000-0000-000001030000}"/>
    <cellStyle name="Normal 5 2 3 4 2" xfId="913" xr:uid="{00000000-0005-0000-0000-000002030000}"/>
    <cellStyle name="Normal 5 2 3 4 2 2" xfId="3975" xr:uid="{F1C56979-2393-4909-9680-F68AAAE0EB54}"/>
    <cellStyle name="Normal 5 2 3 4 2 2 2" xfId="8193" xr:uid="{E662E3FC-8150-4DD2-88E5-5EFBB3A7F08E}"/>
    <cellStyle name="Normal 5 2 3 4 2 3" xfId="6048" xr:uid="{BA483CA7-D68A-4605-9B52-8937E447E81E}"/>
    <cellStyle name="Normal 5 2 3 4 2 4" xfId="1746" xr:uid="{8F8AA7F3-FC42-4363-B460-AC5B9A4BE3FE}"/>
    <cellStyle name="Normal 5 2 3 4 3" xfId="2159" xr:uid="{5E33968A-8778-4E5A-A5AC-A4223952FF29}"/>
    <cellStyle name="Normal 5 2 3 4 3 2" xfId="4388" xr:uid="{4D6AA431-EC63-49FA-B148-74C64B88BE94}"/>
    <cellStyle name="Normal 5 2 3 4 3 2 2" xfId="8606" xr:uid="{23B5F426-8098-4D7A-8178-FE87394607B9}"/>
    <cellStyle name="Normal 5 2 3 4 3 3" xfId="6461" xr:uid="{3C0E9142-673A-4E67-B20C-FF7969848E77}"/>
    <cellStyle name="Normal 5 2 3 4 4" xfId="2572" xr:uid="{FC970172-AC7E-41EF-BABA-B6C62EBF0A7A}"/>
    <cellStyle name="Normal 5 2 3 4 4 2" xfId="4801" xr:uid="{658754B6-1190-4A43-A77D-041F20E18990}"/>
    <cellStyle name="Normal 5 2 3 4 4 2 2" xfId="9019" xr:uid="{FE9BBF43-3DA9-4AD1-B4C2-924A71E66696}"/>
    <cellStyle name="Normal 5 2 3 4 4 3" xfId="6874" xr:uid="{ED7C4576-427F-43F6-874A-6A6855BA987D}"/>
    <cellStyle name="Normal 5 2 3 4 5" xfId="2985" xr:uid="{3D7DCF40-08F2-4501-A5D7-CA43A388DE21}"/>
    <cellStyle name="Normal 5 2 3 4 5 2" xfId="5214" xr:uid="{00527351-87E9-4C20-98F4-124EE69AE654}"/>
    <cellStyle name="Normal 5 2 3 4 5 2 2" xfId="9432" xr:uid="{51A8DB48-EDD9-4A3C-8D8C-23B01877820A}"/>
    <cellStyle name="Normal 5 2 3 4 5 3" xfId="7287" xr:uid="{62C69D9B-A167-4CEF-9AAC-ACF7CFCD29AD}"/>
    <cellStyle name="Normal 5 2 3 4 6" xfId="3421" xr:uid="{34F1E25E-3959-4653-A9C9-4CA53115D90A}"/>
    <cellStyle name="Normal 5 2 3 4 6 2" xfId="7700" xr:uid="{47DDF849-A3C8-4D2F-B58E-9A01B0F61024}"/>
    <cellStyle name="Normal 5 2 3 4 7" xfId="5635" xr:uid="{D49CFF88-C04D-4686-AD70-FD971BA99216}"/>
    <cellStyle name="Normal 5 2 3 4 8" xfId="1331" xr:uid="{B7B03D24-7C06-470A-A0E5-E50337A1A57A}"/>
    <cellStyle name="Normal 5 2 3 5" xfId="906" xr:uid="{00000000-0005-0000-0000-000003030000}"/>
    <cellStyle name="Normal 5 2 3 5 2" xfId="3968" xr:uid="{F5AAB43B-B190-48BD-B4A3-2209CA33E024}"/>
    <cellStyle name="Normal 5 2 3 5 2 2" xfId="8186" xr:uid="{87A619C0-B816-456A-B494-7A1C4045B3A9}"/>
    <cellStyle name="Normal 5 2 3 5 3" xfId="6041" xr:uid="{0FA442DE-6548-43D8-B335-7E555C3B7172}"/>
    <cellStyle name="Normal 5 2 3 5 4" xfId="1739" xr:uid="{A1A35972-50EC-4E32-812F-9E7A93540391}"/>
    <cellStyle name="Normal 5 2 3 6" xfId="2152" xr:uid="{939FCBCD-44D2-48B0-9B40-FD337F880705}"/>
    <cellStyle name="Normal 5 2 3 6 2" xfId="4381" xr:uid="{01B7EDB2-4DAB-4CDD-8F8D-3ACBE6250AFB}"/>
    <cellStyle name="Normal 5 2 3 6 2 2" xfId="8599" xr:uid="{152A1850-4639-4497-9C7C-0237981699DE}"/>
    <cellStyle name="Normal 5 2 3 6 3" xfId="6454" xr:uid="{E1196DC6-383E-450F-918F-EDEB2470B06E}"/>
    <cellStyle name="Normal 5 2 3 7" xfId="2565" xr:uid="{867F7710-65DA-4436-9B98-9F30B8DF9185}"/>
    <cellStyle name="Normal 5 2 3 7 2" xfId="4794" xr:uid="{BA54E196-C2E0-41F5-AF3C-03305C479092}"/>
    <cellStyle name="Normal 5 2 3 7 2 2" xfId="9012" xr:uid="{C5428470-8735-47C9-A48B-BCC3C2B2A3CA}"/>
    <cellStyle name="Normal 5 2 3 7 3" xfId="6867" xr:uid="{BD4BCB2F-1030-4964-A66E-35104C34F03E}"/>
    <cellStyle name="Normal 5 2 3 8" xfId="2978" xr:uid="{A1712342-8AA4-4054-B514-C0E9AC757734}"/>
    <cellStyle name="Normal 5 2 3 8 2" xfId="5207" xr:uid="{B71C6819-BCDF-4E4C-A2A5-530442671690}"/>
    <cellStyle name="Normal 5 2 3 8 2 2" xfId="9425" xr:uid="{CC2F23E0-A82F-494B-9AC5-9D1F94E5FACB}"/>
    <cellStyle name="Normal 5 2 3 8 3" xfId="7280" xr:uid="{DEF085AD-9E11-41C2-8F8A-20CCAFE6D9F8}"/>
    <cellStyle name="Normal 5 2 3 9" xfId="3414" xr:uid="{24368C63-36DF-47AD-AE89-27C603AB0509}"/>
    <cellStyle name="Normal 5 2 3 9 2" xfId="7693" xr:uid="{E5E9710B-33B5-4F9E-8B64-109C353821FD}"/>
    <cellStyle name="Normal 5 2 4" xfId="435" xr:uid="{00000000-0005-0000-0000-000004030000}"/>
    <cellStyle name="Normal 5 2 4 10" xfId="1332" xr:uid="{E409EE76-6BAC-4698-960C-92D2BA41D85F}"/>
    <cellStyle name="Normal 5 2 4 2" xfId="436" xr:uid="{00000000-0005-0000-0000-000005030000}"/>
    <cellStyle name="Normal 5 2 4 2 2" xfId="437" xr:uid="{00000000-0005-0000-0000-000006030000}"/>
    <cellStyle name="Normal 5 2 4 2 2 2" xfId="916" xr:uid="{00000000-0005-0000-0000-000007030000}"/>
    <cellStyle name="Normal 5 2 4 2 2 2 2" xfId="3978" xr:uid="{2281F9AA-0FC7-4DDC-B9C9-B42F1042E2F5}"/>
    <cellStyle name="Normal 5 2 4 2 2 2 2 2" xfId="8196" xr:uid="{23C660AD-7088-4046-869E-6DC26EF9DE4D}"/>
    <cellStyle name="Normal 5 2 4 2 2 2 3" xfId="6051" xr:uid="{C06FD33B-8B33-4B1C-9ACA-C5714109F4D8}"/>
    <cellStyle name="Normal 5 2 4 2 2 2 4" xfId="1749" xr:uid="{E6B49037-E1D2-40EF-A6DA-C911D06F47C5}"/>
    <cellStyle name="Normal 5 2 4 2 2 3" xfId="2162" xr:uid="{483219F4-BE03-494F-BE6B-2D7187FEFB21}"/>
    <cellStyle name="Normal 5 2 4 2 2 3 2" xfId="4391" xr:uid="{93DEB2B6-155D-4EE8-A614-8692DD3CAFD3}"/>
    <cellStyle name="Normal 5 2 4 2 2 3 2 2" xfId="8609" xr:uid="{52E86A6D-F8D6-4CFA-84AE-9E17FD9E8801}"/>
    <cellStyle name="Normal 5 2 4 2 2 3 3" xfId="6464" xr:uid="{28D75585-5CE9-41EC-947D-B9A0253C8DD9}"/>
    <cellStyle name="Normal 5 2 4 2 2 4" xfId="2575" xr:uid="{254A9EAF-20CE-4015-9A53-DB2637E6F053}"/>
    <cellStyle name="Normal 5 2 4 2 2 4 2" xfId="4804" xr:uid="{14011EC9-20AF-492B-A656-ED85A8C7C02B}"/>
    <cellStyle name="Normal 5 2 4 2 2 4 2 2" xfId="9022" xr:uid="{9978B8AE-8C79-45A7-AB81-289193A362BD}"/>
    <cellStyle name="Normal 5 2 4 2 2 4 3" xfId="6877" xr:uid="{FA27EEBA-EF5F-4B3E-9E00-5C0D8F131D64}"/>
    <cellStyle name="Normal 5 2 4 2 2 5" xfId="2988" xr:uid="{AD8E7CF1-CF3C-42E2-AFAD-CDC13645675A}"/>
    <cellStyle name="Normal 5 2 4 2 2 5 2" xfId="5217" xr:uid="{FB4C4966-A7EF-4038-B01D-4E83914726AC}"/>
    <cellStyle name="Normal 5 2 4 2 2 5 2 2" xfId="9435" xr:uid="{695AF6E7-E242-42CB-AB9E-59F23E0ECE82}"/>
    <cellStyle name="Normal 5 2 4 2 2 5 3" xfId="7290" xr:uid="{4B73AC24-ED61-4A29-86F6-0277D97496C0}"/>
    <cellStyle name="Normal 5 2 4 2 2 6" xfId="3424" xr:uid="{D2389986-246C-4B29-AA9F-8C40D6167F0B}"/>
    <cellStyle name="Normal 5 2 4 2 2 6 2" xfId="7703" xr:uid="{DE219CB8-5F7C-41B9-8FC8-D5B3C08BD538}"/>
    <cellStyle name="Normal 5 2 4 2 2 7" xfId="5638" xr:uid="{BDE5AD90-B5D2-4465-A3AE-B1E030D473CA}"/>
    <cellStyle name="Normal 5 2 4 2 2 8" xfId="1334" xr:uid="{CF2A2E51-EEEC-40A6-B122-980F9B20B1CB}"/>
    <cellStyle name="Normal 5 2 4 2 3" xfId="915" xr:uid="{00000000-0005-0000-0000-000008030000}"/>
    <cellStyle name="Normal 5 2 4 2 3 2" xfId="3977" xr:uid="{8DB1DF07-00C7-45C1-A632-9D04F1D74626}"/>
    <cellStyle name="Normal 5 2 4 2 3 2 2" xfId="8195" xr:uid="{A44B1DD6-A816-4494-8329-FBB57D8F2619}"/>
    <cellStyle name="Normal 5 2 4 2 3 3" xfId="6050" xr:uid="{55B06B88-F7DC-4BB7-92BC-8BEA04EB4D12}"/>
    <cellStyle name="Normal 5 2 4 2 3 4" xfId="1748" xr:uid="{2299CD3E-0EE2-4592-8ED1-DBBF2AFD797D}"/>
    <cellStyle name="Normal 5 2 4 2 4" xfId="2161" xr:uid="{E3E71300-DF7B-41CD-9300-5967B1AA1CA2}"/>
    <cellStyle name="Normal 5 2 4 2 4 2" xfId="4390" xr:uid="{45BCFEF3-E58D-4A6C-9C7B-C3FD0AFB90A5}"/>
    <cellStyle name="Normal 5 2 4 2 4 2 2" xfId="8608" xr:uid="{02E5335D-EC21-4B2F-9C08-96FF0E7675AF}"/>
    <cellStyle name="Normal 5 2 4 2 4 3" xfId="6463" xr:uid="{60E09997-EE7B-4E2C-A844-69C22F0BB4F6}"/>
    <cellStyle name="Normal 5 2 4 2 5" xfId="2574" xr:uid="{8545A29C-F56D-4288-A613-46C4F52E4266}"/>
    <cellStyle name="Normal 5 2 4 2 5 2" xfId="4803" xr:uid="{A649ECBD-20D2-42EE-95E1-83E0A8D02C0F}"/>
    <cellStyle name="Normal 5 2 4 2 5 2 2" xfId="9021" xr:uid="{3E7AFE2A-A2D9-497E-B1EC-8619D3EE9A13}"/>
    <cellStyle name="Normal 5 2 4 2 5 3" xfId="6876" xr:uid="{11394D1F-0C39-4DB8-AB06-4AF727546560}"/>
    <cellStyle name="Normal 5 2 4 2 6" xfId="2987" xr:uid="{3D6591B6-9105-4358-802C-C69231DDE3E2}"/>
    <cellStyle name="Normal 5 2 4 2 6 2" xfId="5216" xr:uid="{2246C211-FE95-4EE1-B333-B1FE42FDF7A3}"/>
    <cellStyle name="Normal 5 2 4 2 6 2 2" xfId="9434" xr:uid="{6AEAD6A4-5BDA-420B-8801-843CFB6F0BEA}"/>
    <cellStyle name="Normal 5 2 4 2 6 3" xfId="7289" xr:uid="{DDE035ED-7104-4650-93DA-215F06E4126C}"/>
    <cellStyle name="Normal 5 2 4 2 7" xfId="3423" xr:uid="{9A7CECE5-B95D-475B-AC5D-360FB22C9C35}"/>
    <cellStyle name="Normal 5 2 4 2 7 2" xfId="7702" xr:uid="{8A1B4C5C-D7B9-407C-A881-792C2BA3488A}"/>
    <cellStyle name="Normal 5 2 4 2 8" xfId="5637" xr:uid="{F831FAEE-02AD-45C0-B61E-CA5CC1AB490C}"/>
    <cellStyle name="Normal 5 2 4 2 9" xfId="1333" xr:uid="{9EABDCDF-CE76-41E5-B738-90433A8AECE8}"/>
    <cellStyle name="Normal 5 2 4 3" xfId="438" xr:uid="{00000000-0005-0000-0000-000009030000}"/>
    <cellStyle name="Normal 5 2 4 3 2" xfId="917" xr:uid="{00000000-0005-0000-0000-00000A030000}"/>
    <cellStyle name="Normal 5 2 4 3 2 2" xfId="3979" xr:uid="{7BCC4892-FE4D-4E33-92C8-F158A08EFEC6}"/>
    <cellStyle name="Normal 5 2 4 3 2 2 2" xfId="8197" xr:uid="{74D5D7F3-52DB-4C87-A9CF-3B9212E01A11}"/>
    <cellStyle name="Normal 5 2 4 3 2 3" xfId="6052" xr:uid="{AC96D365-E30F-46B9-B3B3-1CF5BA9658A5}"/>
    <cellStyle name="Normal 5 2 4 3 2 4" xfId="1750" xr:uid="{15F5BDF7-F685-4B5B-AA8C-8D1D7746EA16}"/>
    <cellStyle name="Normal 5 2 4 3 3" xfId="2163" xr:uid="{D859F99D-9108-4217-B842-BDB8DC6D6A09}"/>
    <cellStyle name="Normal 5 2 4 3 3 2" xfId="4392" xr:uid="{A23C4EAE-5595-4322-B514-7DC4AC295B4A}"/>
    <cellStyle name="Normal 5 2 4 3 3 2 2" xfId="8610" xr:uid="{455B9A8E-5353-4416-9C30-A3A07E5F69CD}"/>
    <cellStyle name="Normal 5 2 4 3 3 3" xfId="6465" xr:uid="{101090CF-D437-4BAC-8949-5340EF36F474}"/>
    <cellStyle name="Normal 5 2 4 3 4" xfId="2576" xr:uid="{57AD7D65-7FDF-4F13-8235-E9401CB79FD7}"/>
    <cellStyle name="Normal 5 2 4 3 4 2" xfId="4805" xr:uid="{30828A6F-0909-45FD-ADAD-8C0555572633}"/>
    <cellStyle name="Normal 5 2 4 3 4 2 2" xfId="9023" xr:uid="{215C51F4-2371-4C6A-8D51-1DB9837FF671}"/>
    <cellStyle name="Normal 5 2 4 3 4 3" xfId="6878" xr:uid="{74BBB171-252C-4A84-B78E-A1B1A783F24B}"/>
    <cellStyle name="Normal 5 2 4 3 5" xfId="2989" xr:uid="{7E435906-9E85-4F3D-9FDA-4F2D6CB98D24}"/>
    <cellStyle name="Normal 5 2 4 3 5 2" xfId="5218" xr:uid="{2C0F38A0-785C-4AD8-9FBD-782C17FE4052}"/>
    <cellStyle name="Normal 5 2 4 3 5 2 2" xfId="9436" xr:uid="{3FEE7687-EA9A-4AF4-9EC8-69353A78B530}"/>
    <cellStyle name="Normal 5 2 4 3 5 3" xfId="7291" xr:uid="{5FF63994-3E62-4B2B-9664-864ECE27DD9F}"/>
    <cellStyle name="Normal 5 2 4 3 6" xfId="3425" xr:uid="{3B856F69-F1E4-4922-9EEA-543917CA2540}"/>
    <cellStyle name="Normal 5 2 4 3 6 2" xfId="7704" xr:uid="{8AEB0086-3721-49CA-BF15-E4E27ADD5EF4}"/>
    <cellStyle name="Normal 5 2 4 3 7" xfId="5639" xr:uid="{58D8C5A8-0740-4646-9FF6-620B73452A31}"/>
    <cellStyle name="Normal 5 2 4 3 8" xfId="1335" xr:uid="{01D6A88E-6A1E-46AC-9606-F8E91F07D4E1}"/>
    <cellStyle name="Normal 5 2 4 4" xfId="914" xr:uid="{00000000-0005-0000-0000-00000B030000}"/>
    <cellStyle name="Normal 5 2 4 4 2" xfId="3976" xr:uid="{69B45D10-8A2F-4827-88CF-2A72C6561911}"/>
    <cellStyle name="Normal 5 2 4 4 2 2" xfId="8194" xr:uid="{890872D4-93C1-4BA2-BD97-2D1E2FFB599C}"/>
    <cellStyle name="Normal 5 2 4 4 3" xfId="6049" xr:uid="{DF7C24F5-4B23-410C-BE1A-77134BD6C160}"/>
    <cellStyle name="Normal 5 2 4 4 4" xfId="1747" xr:uid="{09547829-2BBB-46F2-AD0E-D834EB152E18}"/>
    <cellStyle name="Normal 5 2 4 5" xfId="2160" xr:uid="{0F53BDFA-9FC6-4270-8A52-C5AF85DDFCDC}"/>
    <cellStyle name="Normal 5 2 4 5 2" xfId="4389" xr:uid="{6F904FB3-57EC-489B-A9AC-C56F00FA16D0}"/>
    <cellStyle name="Normal 5 2 4 5 2 2" xfId="8607" xr:uid="{E7795A06-6E14-47C1-9F2A-B7999A7F7782}"/>
    <cellStyle name="Normal 5 2 4 5 3" xfId="6462" xr:uid="{D8CF2694-A2CC-47F0-B2EA-ED2AC6663C57}"/>
    <cellStyle name="Normal 5 2 4 6" xfId="2573" xr:uid="{12B6FEC1-B508-4E76-91E3-345ACCD2E26F}"/>
    <cellStyle name="Normal 5 2 4 6 2" xfId="4802" xr:uid="{523481F3-4B8F-4756-A8C2-52677E3F9138}"/>
    <cellStyle name="Normal 5 2 4 6 2 2" xfId="9020" xr:uid="{EE723B57-FBAF-4C60-BD9A-AA3FAEC7E6E4}"/>
    <cellStyle name="Normal 5 2 4 6 3" xfId="6875" xr:uid="{A40E4A4C-FE0B-4864-89D7-A458FAD62DFD}"/>
    <cellStyle name="Normal 5 2 4 7" xfId="2986" xr:uid="{71294A42-8668-4E7C-A296-2E2676F95144}"/>
    <cellStyle name="Normal 5 2 4 7 2" xfId="5215" xr:uid="{9A7A3A49-4621-4E61-83F8-16D3988C5AD5}"/>
    <cellStyle name="Normal 5 2 4 7 2 2" xfId="9433" xr:uid="{B7CAB240-53F3-4E35-A211-D9614AB2D351}"/>
    <cellStyle name="Normal 5 2 4 7 3" xfId="7288" xr:uid="{5096B343-EFB8-4977-AB7D-0B3C3268E6AF}"/>
    <cellStyle name="Normal 5 2 4 8" xfId="3422" xr:uid="{63AC8C09-2F02-4661-8C70-7238C1343B6C}"/>
    <cellStyle name="Normal 5 2 4 8 2" xfId="7701" xr:uid="{D4D2CC74-A330-4DB5-9454-F3C7BA469B54}"/>
    <cellStyle name="Normal 5 2 4 9" xfId="5636" xr:uid="{79433B95-A9F9-4ED4-A052-5BCB79E18AC6}"/>
    <cellStyle name="Normal 5 2 5" xfId="439" xr:uid="{00000000-0005-0000-0000-00000C030000}"/>
    <cellStyle name="Normal 5 2 5 2" xfId="440" xr:uid="{00000000-0005-0000-0000-00000D030000}"/>
    <cellStyle name="Normal 5 2 5 2 2" xfId="919" xr:uid="{00000000-0005-0000-0000-00000E030000}"/>
    <cellStyle name="Normal 5 2 5 2 2 2" xfId="3981" xr:uid="{CCFFB6EF-D043-4CA3-BDDB-25BC7999BDD3}"/>
    <cellStyle name="Normal 5 2 5 2 2 2 2" xfId="8199" xr:uid="{691FBFE5-5D38-4A31-B097-E748972421BB}"/>
    <cellStyle name="Normal 5 2 5 2 2 3" xfId="6054" xr:uid="{B31719BB-50F6-4E6B-98F7-0E12CA63E646}"/>
    <cellStyle name="Normal 5 2 5 2 2 4" xfId="1752" xr:uid="{55A7C5AE-6B96-40C5-9625-28727ECC9CC5}"/>
    <cellStyle name="Normal 5 2 5 2 3" xfId="2165" xr:uid="{73700CFD-C0C9-4153-9885-93A30394A1B7}"/>
    <cellStyle name="Normal 5 2 5 2 3 2" xfId="4394" xr:uid="{03935068-0623-4CDD-A3F0-BA4D1BF7607E}"/>
    <cellStyle name="Normal 5 2 5 2 3 2 2" xfId="8612" xr:uid="{3C61DF44-A3B4-4736-B525-7A0F83FD0C8E}"/>
    <cellStyle name="Normal 5 2 5 2 3 3" xfId="6467" xr:uid="{151ADB73-2DEB-4976-94E0-7C9C0B03BF2E}"/>
    <cellStyle name="Normal 5 2 5 2 4" xfId="2578" xr:uid="{366A2CAC-20F8-4D8F-A978-4061D3EAC665}"/>
    <cellStyle name="Normal 5 2 5 2 4 2" xfId="4807" xr:uid="{E91BAEFF-A60B-40C4-8F53-9D5B875C6CEC}"/>
    <cellStyle name="Normal 5 2 5 2 4 2 2" xfId="9025" xr:uid="{9C191766-825E-4349-8C80-707B24BC099D}"/>
    <cellStyle name="Normal 5 2 5 2 4 3" xfId="6880" xr:uid="{FF721D8A-2573-481C-82EF-E8B8320E6677}"/>
    <cellStyle name="Normal 5 2 5 2 5" xfId="2991" xr:uid="{4862C86C-E4DF-4A6A-86BD-2C3B5C2CC303}"/>
    <cellStyle name="Normal 5 2 5 2 5 2" xfId="5220" xr:uid="{70990741-EBA7-4C71-AA02-5A2C164D88F5}"/>
    <cellStyle name="Normal 5 2 5 2 5 2 2" xfId="9438" xr:uid="{E06A20C2-AE1D-445D-AB63-96B2312DB184}"/>
    <cellStyle name="Normal 5 2 5 2 5 3" xfId="7293" xr:uid="{B5900EB5-681B-4772-A84B-0E44C77E91B3}"/>
    <cellStyle name="Normal 5 2 5 2 6" xfId="3427" xr:uid="{3988581B-9D58-4C45-8B67-E3CBE3AFC1FB}"/>
    <cellStyle name="Normal 5 2 5 2 6 2" xfId="7706" xr:uid="{CE36F4F3-F4BE-49B9-9E7B-6044C8F8D281}"/>
    <cellStyle name="Normal 5 2 5 2 7" xfId="5641" xr:uid="{D5E01C6D-80EA-48CF-9039-2386C38C8400}"/>
    <cellStyle name="Normal 5 2 5 2 8" xfId="1337" xr:uid="{2004C792-C302-4B28-BE42-C1C2F8FF2FB7}"/>
    <cellStyle name="Normal 5 2 5 3" xfId="918" xr:uid="{00000000-0005-0000-0000-00000F030000}"/>
    <cellStyle name="Normal 5 2 5 3 2" xfId="3980" xr:uid="{CF38CEA2-C4A4-4FAB-B15A-38E931E96ACA}"/>
    <cellStyle name="Normal 5 2 5 3 2 2" xfId="8198" xr:uid="{A93BC859-9AB6-42BB-A7DC-B03137F3FAED}"/>
    <cellStyle name="Normal 5 2 5 3 3" xfId="6053" xr:uid="{48BEBBCA-8E7C-47B7-BEC7-82BDBF7A754E}"/>
    <cellStyle name="Normal 5 2 5 3 4" xfId="1751" xr:uid="{6FB19302-94A8-42E2-9ADC-4C36033544C2}"/>
    <cellStyle name="Normal 5 2 5 4" xfId="2164" xr:uid="{74B4A357-75EF-4AF8-8961-F2949DF7FA81}"/>
    <cellStyle name="Normal 5 2 5 4 2" xfId="4393" xr:uid="{ABCB56EF-217A-4B26-8E2A-9F0A900F3748}"/>
    <cellStyle name="Normal 5 2 5 4 2 2" xfId="8611" xr:uid="{B95E5F72-389E-4B7F-95B3-F291820517BE}"/>
    <cellStyle name="Normal 5 2 5 4 3" xfId="6466" xr:uid="{1654E2A8-3AEE-4A19-AA71-1F0033144424}"/>
    <cellStyle name="Normal 5 2 5 5" xfId="2577" xr:uid="{84D2C8B7-92DF-4464-BAD4-365658EA3DA5}"/>
    <cellStyle name="Normal 5 2 5 5 2" xfId="4806" xr:uid="{4C879C7F-AB52-40C6-8CB0-F81C80669B2E}"/>
    <cellStyle name="Normal 5 2 5 5 2 2" xfId="9024" xr:uid="{040F7BD8-CB33-4FA3-A2D7-D2442A44A079}"/>
    <cellStyle name="Normal 5 2 5 5 3" xfId="6879" xr:uid="{D74ECB3A-278B-44B4-AEA8-28DFB967BE49}"/>
    <cellStyle name="Normal 5 2 5 6" xfId="2990" xr:uid="{6EA0EB94-9788-46B5-AEC3-6DF23A0D1890}"/>
    <cellStyle name="Normal 5 2 5 6 2" xfId="5219" xr:uid="{631737DB-BC5C-474C-B2F1-7049BBC722E1}"/>
    <cellStyle name="Normal 5 2 5 6 2 2" xfId="9437" xr:uid="{A5DF4060-6B2A-46AF-A8E0-A0EC2E3EEA91}"/>
    <cellStyle name="Normal 5 2 5 6 3" xfId="7292" xr:uid="{226A8D69-E5D9-4ADB-AEF8-ECE0480D8BAD}"/>
    <cellStyle name="Normal 5 2 5 7" xfId="3426" xr:uid="{7B8DB9F6-957F-47A9-8277-4C8E920F1956}"/>
    <cellStyle name="Normal 5 2 5 7 2" xfId="7705" xr:uid="{F9097F90-0382-4CEE-A97E-7079127BF352}"/>
    <cellStyle name="Normal 5 2 5 8" xfId="5640" xr:uid="{E260B871-861D-4523-A6D0-52B8726E4C5F}"/>
    <cellStyle name="Normal 5 2 5 9" xfId="1336" xr:uid="{EB16B497-903E-4597-ADF8-1AA3FB0CAE9E}"/>
    <cellStyle name="Normal 5 2 6" xfId="441" xr:uid="{00000000-0005-0000-0000-000010030000}"/>
    <cellStyle name="Normal 5 2 6 2" xfId="920" xr:uid="{00000000-0005-0000-0000-000011030000}"/>
    <cellStyle name="Normal 5 2 6 2 2" xfId="3982" xr:uid="{6CDD87D7-401D-408E-B273-90AAE02CD3CD}"/>
    <cellStyle name="Normal 5 2 6 2 2 2" xfId="8200" xr:uid="{836C31C8-11D0-47D6-97BC-30DA4BA24E32}"/>
    <cellStyle name="Normal 5 2 6 2 3" xfId="6055" xr:uid="{2A2E59FE-627D-45AF-8652-2E8A79A05824}"/>
    <cellStyle name="Normal 5 2 6 2 4" xfId="1753" xr:uid="{2F216870-C321-42FB-955C-57E9CAF335EF}"/>
    <cellStyle name="Normal 5 2 6 3" xfId="2166" xr:uid="{59D13486-1D97-44B8-B3D0-B0160AB1EFCE}"/>
    <cellStyle name="Normal 5 2 6 3 2" xfId="4395" xr:uid="{61D1E264-8CB7-426F-986F-253398706A50}"/>
    <cellStyle name="Normal 5 2 6 3 2 2" xfId="8613" xr:uid="{80EDE8E2-3A20-4DE6-81A1-0FB1A9493075}"/>
    <cellStyle name="Normal 5 2 6 3 3" xfId="6468" xr:uid="{3BAA0AC2-0195-440C-BBC8-6B3D9C825850}"/>
    <cellStyle name="Normal 5 2 6 4" xfId="2579" xr:uid="{0D0F4375-AAF3-4B29-9134-37962BF3F615}"/>
    <cellStyle name="Normal 5 2 6 4 2" xfId="4808" xr:uid="{2836686E-22B6-4FB5-80EF-FBBFFB22CD1E}"/>
    <cellStyle name="Normal 5 2 6 4 2 2" xfId="9026" xr:uid="{B47F7439-5ACA-4091-86A3-2FE670BF7D63}"/>
    <cellStyle name="Normal 5 2 6 4 3" xfId="6881" xr:uid="{43AD10C4-B2D2-4AE9-A096-991575DAF074}"/>
    <cellStyle name="Normal 5 2 6 5" xfId="2992" xr:uid="{4D02FEBF-6DCF-4364-9308-43A1764254F0}"/>
    <cellStyle name="Normal 5 2 6 5 2" xfId="5221" xr:uid="{DF5F4139-739E-426A-BD3F-DC322D69451B}"/>
    <cellStyle name="Normal 5 2 6 5 2 2" xfId="9439" xr:uid="{99253221-352E-43C2-B8AD-136458E91080}"/>
    <cellStyle name="Normal 5 2 6 5 3" xfId="7294" xr:uid="{ECA18FF2-B2F4-4E35-885E-0D303512913C}"/>
    <cellStyle name="Normal 5 2 6 6" xfId="3428" xr:uid="{A5B3B5A1-B3D0-4298-9F0E-FE1FC4A6D37D}"/>
    <cellStyle name="Normal 5 2 6 6 2" xfId="7707" xr:uid="{A88F04F7-E1C1-4DBC-ACDC-96D246E4B10A}"/>
    <cellStyle name="Normal 5 2 6 7" xfId="5642" xr:uid="{978974EA-9AF9-4163-92C3-94A2B11C694E}"/>
    <cellStyle name="Normal 5 2 6 8" xfId="1338" xr:uid="{882D70F2-7DDF-4D95-A37B-8E37AD6599AF}"/>
    <cellStyle name="Normal 5 2 7" xfId="889" xr:uid="{00000000-0005-0000-0000-000012030000}"/>
    <cellStyle name="Normal 5 2 7 2" xfId="3951" xr:uid="{6BB4D0A5-8536-4C1C-B0AB-A2F167BCF481}"/>
    <cellStyle name="Normal 5 2 7 2 2" xfId="8169" xr:uid="{5DD299FA-C922-4B7A-B1F3-24A7A5181D8B}"/>
    <cellStyle name="Normal 5 2 7 3" xfId="6024" xr:uid="{6285173C-CDD4-4C77-8C26-6226FD20E666}"/>
    <cellStyle name="Normal 5 2 7 4" xfId="1722" xr:uid="{F1C729EF-D951-4D14-9CC4-5EEB2F5FC692}"/>
    <cellStyle name="Normal 5 2 8" xfId="2135" xr:uid="{4E9F413B-0DBE-483E-AD4A-ABABCD610888}"/>
    <cellStyle name="Normal 5 2 8 2" xfId="4364" xr:uid="{C204C70C-E09C-4D0F-8F3C-2E3AE99BD984}"/>
    <cellStyle name="Normal 5 2 8 2 2" xfId="8582" xr:uid="{7B22AE3B-0C70-4E1D-A4EC-5267C8939E61}"/>
    <cellStyle name="Normal 5 2 8 3" xfId="6437" xr:uid="{3E3214F5-30DD-444E-A167-11F7A4CE5150}"/>
    <cellStyle name="Normal 5 2 9" xfId="2548" xr:uid="{57E081A8-9D70-4CD2-9C29-D3DF1883EAC7}"/>
    <cellStyle name="Normal 5 2 9 2" xfId="4777" xr:uid="{9B85CF41-4335-43AC-A8CE-A8AAF3139A8A}"/>
    <cellStyle name="Normal 5 2 9 2 2" xfId="8995" xr:uid="{2D0DA75C-C7EA-4615-80C7-1F6FD1CCD6B6}"/>
    <cellStyle name="Normal 5 2 9 3" xfId="6850" xr:uid="{91BAC577-4427-44CE-9276-E0AD9599546F}"/>
    <cellStyle name="Normal 5 3" xfId="442" xr:uid="{00000000-0005-0000-0000-000013030000}"/>
    <cellStyle name="Normal 5 3 10" xfId="2993" xr:uid="{C01E16CF-9F40-4DA6-A4AD-A382CBC31911}"/>
    <cellStyle name="Normal 5 3 10 2" xfId="5222" xr:uid="{C31B91D0-9003-4131-AB9C-3BABACF553A9}"/>
    <cellStyle name="Normal 5 3 10 2 2" xfId="9440" xr:uid="{03237307-EBC9-40B6-A6AD-A338E9B6BDBE}"/>
    <cellStyle name="Normal 5 3 10 3" xfId="7295" xr:uid="{DD23EAC3-46D1-498E-8271-A310822B0A5E}"/>
    <cellStyle name="Normal 5 3 11" xfId="3429" xr:uid="{2BF3F64B-1857-49D1-B938-A48308025803}"/>
    <cellStyle name="Normal 5 3 11 2" xfId="7708" xr:uid="{A0D9E614-ECBC-4089-AEA2-C5FF7C587518}"/>
    <cellStyle name="Normal 5 3 12" xfId="5643" xr:uid="{BF11E970-504A-4F03-A93C-31DD92F9BEF8}"/>
    <cellStyle name="Normal 5 3 13" xfId="1339" xr:uid="{1CF8F772-2F22-4D87-8D65-840E665F34EA}"/>
    <cellStyle name="Normal 5 3 2" xfId="443" xr:uid="{00000000-0005-0000-0000-000014030000}"/>
    <cellStyle name="Normal 5 3 2 2" xfId="922" xr:uid="{00000000-0005-0000-0000-000015030000}"/>
    <cellStyle name="Normal 5 3 3" xfId="444" xr:uid="{00000000-0005-0000-0000-000016030000}"/>
    <cellStyle name="Normal 5 3 3 10" xfId="5644" xr:uid="{A3B5AC74-6FA5-49BD-B88D-6D2902852F3F}"/>
    <cellStyle name="Normal 5 3 3 11" xfId="1340" xr:uid="{9C54DBC8-2321-48CD-8DE1-88312885C8E2}"/>
    <cellStyle name="Normal 5 3 3 2" xfId="445" xr:uid="{00000000-0005-0000-0000-000017030000}"/>
    <cellStyle name="Normal 5 3 3 2 10" xfId="1341" xr:uid="{00CA1A73-B96F-45E7-A01A-4C433FF4ED79}"/>
    <cellStyle name="Normal 5 3 3 2 2" xfId="446" xr:uid="{00000000-0005-0000-0000-000018030000}"/>
    <cellStyle name="Normal 5 3 3 2 2 2" xfId="447" xr:uid="{00000000-0005-0000-0000-000019030000}"/>
    <cellStyle name="Normal 5 3 3 2 2 2 2" xfId="926" xr:uid="{00000000-0005-0000-0000-00001A030000}"/>
    <cellStyle name="Normal 5 3 3 2 2 2 2 2" xfId="3987" xr:uid="{BDBFE6CC-B736-48C6-8BD1-0745ACB3DC69}"/>
    <cellStyle name="Normal 5 3 3 2 2 2 2 2 2" xfId="8205" xr:uid="{D4FC5B90-269C-40FE-8262-A3C9932E2E4A}"/>
    <cellStyle name="Normal 5 3 3 2 2 2 2 3" xfId="6060" xr:uid="{DCC51896-1FFF-4BDA-AC74-B9C6348F092C}"/>
    <cellStyle name="Normal 5 3 3 2 2 2 2 4" xfId="1758" xr:uid="{15206789-6CC3-47CE-9254-33BF411F432C}"/>
    <cellStyle name="Normal 5 3 3 2 2 2 3" xfId="2171" xr:uid="{D8420233-C335-4E36-B5B6-F6A0C6859D23}"/>
    <cellStyle name="Normal 5 3 3 2 2 2 3 2" xfId="4400" xr:uid="{6C165005-0F35-4EB7-AC10-EBA80E588683}"/>
    <cellStyle name="Normal 5 3 3 2 2 2 3 2 2" xfId="8618" xr:uid="{3B141C89-9E39-4266-808F-AF1D2322F84D}"/>
    <cellStyle name="Normal 5 3 3 2 2 2 3 3" xfId="6473" xr:uid="{99835E4D-1184-4EC0-8C9A-D50DBB197AFE}"/>
    <cellStyle name="Normal 5 3 3 2 2 2 4" xfId="2584" xr:uid="{58C3C880-7CE8-4CE9-B649-658BAF8D0C24}"/>
    <cellStyle name="Normal 5 3 3 2 2 2 4 2" xfId="4813" xr:uid="{6AF745B1-6EA4-4843-920B-1264361A67A2}"/>
    <cellStyle name="Normal 5 3 3 2 2 2 4 2 2" xfId="9031" xr:uid="{1F19CCC4-E973-451B-B8D3-69C5D4E09F6F}"/>
    <cellStyle name="Normal 5 3 3 2 2 2 4 3" xfId="6886" xr:uid="{B9D4D478-AD9B-4882-BA8D-5192016A78C4}"/>
    <cellStyle name="Normal 5 3 3 2 2 2 5" xfId="2997" xr:uid="{3F4EA4F9-5E38-4ABF-81D2-D007EDBEFE52}"/>
    <cellStyle name="Normal 5 3 3 2 2 2 5 2" xfId="5226" xr:uid="{ED764D46-D51E-4D7C-B02F-7C1572210B0D}"/>
    <cellStyle name="Normal 5 3 3 2 2 2 5 2 2" xfId="9444" xr:uid="{65F4E944-FC61-4BB6-923B-732EB6B4DEB8}"/>
    <cellStyle name="Normal 5 3 3 2 2 2 5 3" xfId="7299" xr:uid="{FDA3A75A-1C92-428F-81B6-10A1C38E6A4A}"/>
    <cellStyle name="Normal 5 3 3 2 2 2 6" xfId="3433" xr:uid="{C7671D06-FEE6-4061-A5DE-1E8D14ED77FE}"/>
    <cellStyle name="Normal 5 3 3 2 2 2 6 2" xfId="7712" xr:uid="{63AA1DE2-E734-4FCC-B815-54C95C8C3F75}"/>
    <cellStyle name="Normal 5 3 3 2 2 2 7" xfId="5647" xr:uid="{5C810911-52E4-480A-BD98-23E2C48E4F04}"/>
    <cellStyle name="Normal 5 3 3 2 2 2 8" xfId="1343" xr:uid="{C01FA112-13A6-4EBF-AB7A-E5773D0033C4}"/>
    <cellStyle name="Normal 5 3 3 2 2 3" xfId="925" xr:uid="{00000000-0005-0000-0000-00001B030000}"/>
    <cellStyle name="Normal 5 3 3 2 2 3 2" xfId="3986" xr:uid="{338DA53B-995B-4A9E-AA88-DBC28E099D9C}"/>
    <cellStyle name="Normal 5 3 3 2 2 3 2 2" xfId="8204" xr:uid="{739DF074-6897-4522-91A2-9866C1DADCF0}"/>
    <cellStyle name="Normal 5 3 3 2 2 3 3" xfId="6059" xr:uid="{A663431D-95DD-48E6-83CE-A04600C0C0AB}"/>
    <cellStyle name="Normal 5 3 3 2 2 3 4" xfId="1757" xr:uid="{F63174BB-44F6-4AA1-9E05-2CB66FF4A941}"/>
    <cellStyle name="Normal 5 3 3 2 2 4" xfId="2170" xr:uid="{3BBF8272-4305-4BBA-8591-8CCF22E85818}"/>
    <cellStyle name="Normal 5 3 3 2 2 4 2" xfId="4399" xr:uid="{CEE967CC-F45A-4D22-9223-DA0685C2A6D4}"/>
    <cellStyle name="Normal 5 3 3 2 2 4 2 2" xfId="8617" xr:uid="{9C5243A7-225B-487E-B741-701FCDED1C1D}"/>
    <cellStyle name="Normal 5 3 3 2 2 4 3" xfId="6472" xr:uid="{A9B4316E-390B-4038-B8DD-DADF3134A150}"/>
    <cellStyle name="Normal 5 3 3 2 2 5" xfId="2583" xr:uid="{76C07B65-015B-47F4-BB9D-9395CBFAB4D3}"/>
    <cellStyle name="Normal 5 3 3 2 2 5 2" xfId="4812" xr:uid="{BCA4DD4D-B004-456D-9A29-A19EED5B7290}"/>
    <cellStyle name="Normal 5 3 3 2 2 5 2 2" xfId="9030" xr:uid="{1210FA2E-48E4-4515-B01C-E1F5296A66AE}"/>
    <cellStyle name="Normal 5 3 3 2 2 5 3" xfId="6885" xr:uid="{F1FFAC56-33A7-4DF0-BCB8-A25049D99925}"/>
    <cellStyle name="Normal 5 3 3 2 2 6" xfId="2996" xr:uid="{F4B79C18-7FDF-4E58-A755-89600A52AED6}"/>
    <cellStyle name="Normal 5 3 3 2 2 6 2" xfId="5225" xr:uid="{3E079987-BE0E-464A-A358-9639E0C99F62}"/>
    <cellStyle name="Normal 5 3 3 2 2 6 2 2" xfId="9443" xr:uid="{9039F246-DA3D-4A77-B613-10A5D56CA7F1}"/>
    <cellStyle name="Normal 5 3 3 2 2 6 3" xfId="7298" xr:uid="{AD0E5A63-D9C7-489F-B543-69213E6D816A}"/>
    <cellStyle name="Normal 5 3 3 2 2 7" xfId="3432" xr:uid="{E17ACD40-1D37-415C-88DF-FF34AA03A9BB}"/>
    <cellStyle name="Normal 5 3 3 2 2 7 2" xfId="7711" xr:uid="{0F25DE7A-6F3D-43B9-857A-0872C843A83B}"/>
    <cellStyle name="Normal 5 3 3 2 2 8" xfId="5646" xr:uid="{3146660C-FE2F-4469-B959-D0D9390411F5}"/>
    <cellStyle name="Normal 5 3 3 2 2 9" xfId="1342" xr:uid="{D4684F52-E789-4A53-A5D0-145038784CD3}"/>
    <cellStyle name="Normal 5 3 3 2 3" xfId="448" xr:uid="{00000000-0005-0000-0000-00001C030000}"/>
    <cellStyle name="Normal 5 3 3 2 3 2" xfId="927" xr:uid="{00000000-0005-0000-0000-00001D030000}"/>
    <cellStyle name="Normal 5 3 3 2 3 2 2" xfId="3988" xr:uid="{4B0A4C31-C42C-449E-A1EC-D1D8530C08A7}"/>
    <cellStyle name="Normal 5 3 3 2 3 2 2 2" xfId="8206" xr:uid="{837EA821-DB29-443C-ACDA-FB3E1AEB0452}"/>
    <cellStyle name="Normal 5 3 3 2 3 2 3" xfId="6061" xr:uid="{58CE95F4-CBD0-4F2C-B41B-D70348047043}"/>
    <cellStyle name="Normal 5 3 3 2 3 2 4" xfId="1759" xr:uid="{7F5167B1-FC81-4BA3-B745-E3DDF0806D5C}"/>
    <cellStyle name="Normal 5 3 3 2 3 3" xfId="2172" xr:uid="{5BE0EBD4-3DCC-417B-B93D-65F5BF2C47E9}"/>
    <cellStyle name="Normal 5 3 3 2 3 3 2" xfId="4401" xr:uid="{BD0CBA50-A4BD-4808-86A6-4146107009E3}"/>
    <cellStyle name="Normal 5 3 3 2 3 3 2 2" xfId="8619" xr:uid="{C288AC57-362C-4BA1-94DD-B17CE60EF133}"/>
    <cellStyle name="Normal 5 3 3 2 3 3 3" xfId="6474" xr:uid="{4F221FEB-23C0-455A-AA5A-84210C1EA8E2}"/>
    <cellStyle name="Normal 5 3 3 2 3 4" xfId="2585" xr:uid="{EFFCE87A-2B6D-4F0D-B4A0-A760A6699BEE}"/>
    <cellStyle name="Normal 5 3 3 2 3 4 2" xfId="4814" xr:uid="{C466BC47-30E2-4F4A-A099-35658BC4DAB6}"/>
    <cellStyle name="Normal 5 3 3 2 3 4 2 2" xfId="9032" xr:uid="{726B3BF7-3844-420E-B3C2-727FDC45D2EE}"/>
    <cellStyle name="Normal 5 3 3 2 3 4 3" xfId="6887" xr:uid="{77707D38-2F51-4654-97E0-14D3C58A09CD}"/>
    <cellStyle name="Normal 5 3 3 2 3 5" xfId="2998" xr:uid="{284FC59C-854E-49CD-9139-3FDA82EDF01A}"/>
    <cellStyle name="Normal 5 3 3 2 3 5 2" xfId="5227" xr:uid="{A17CFFAB-326D-4946-9F55-B74591D5057D}"/>
    <cellStyle name="Normal 5 3 3 2 3 5 2 2" xfId="9445" xr:uid="{7FA123F4-EB29-41F2-AFAA-6E8DD74D0C16}"/>
    <cellStyle name="Normal 5 3 3 2 3 5 3" xfId="7300" xr:uid="{556829B3-9BB5-4452-9B05-944E2836CE2E}"/>
    <cellStyle name="Normal 5 3 3 2 3 6" xfId="3434" xr:uid="{F2923CFD-FA1B-4F91-854E-197247FF7074}"/>
    <cellStyle name="Normal 5 3 3 2 3 6 2" xfId="7713" xr:uid="{CF0BA03F-6ACA-4A02-9BD2-C39918F7B5F1}"/>
    <cellStyle name="Normal 5 3 3 2 3 7" xfId="5648" xr:uid="{033E3491-164E-4840-B4B3-4B7B012BCD23}"/>
    <cellStyle name="Normal 5 3 3 2 3 8" xfId="1344" xr:uid="{A53CB162-0454-4F4D-A1D9-399E02DE9CFD}"/>
    <cellStyle name="Normal 5 3 3 2 4" xfId="924" xr:uid="{00000000-0005-0000-0000-00001E030000}"/>
    <cellStyle name="Normal 5 3 3 2 4 2" xfId="3985" xr:uid="{4245C1AF-F361-466C-98FB-CBC6754EE0AE}"/>
    <cellStyle name="Normal 5 3 3 2 4 2 2" xfId="8203" xr:uid="{1B467BE6-1186-4C48-8352-30F288C3652C}"/>
    <cellStyle name="Normal 5 3 3 2 4 3" xfId="6058" xr:uid="{5F9F18A9-726D-4883-A1B3-E79EE7F10A51}"/>
    <cellStyle name="Normal 5 3 3 2 4 4" xfId="1756" xr:uid="{9996A2D6-CCD7-4C0B-9F48-7C7BCF87CB6C}"/>
    <cellStyle name="Normal 5 3 3 2 5" xfId="2169" xr:uid="{3D8D36AA-9FD7-450E-BF34-81D02EE4F9FE}"/>
    <cellStyle name="Normal 5 3 3 2 5 2" xfId="4398" xr:uid="{E6CDA9EA-905E-4088-8C92-F2681A7CEDD0}"/>
    <cellStyle name="Normal 5 3 3 2 5 2 2" xfId="8616" xr:uid="{AB795167-AA86-4626-B1D4-ECCD3CC8351F}"/>
    <cellStyle name="Normal 5 3 3 2 5 3" xfId="6471" xr:uid="{E090B268-02B6-45B1-9093-403119B7AF69}"/>
    <cellStyle name="Normal 5 3 3 2 6" xfId="2582" xr:uid="{A1FD1CD8-6834-4439-BBA7-A52E3B3B24AD}"/>
    <cellStyle name="Normal 5 3 3 2 6 2" xfId="4811" xr:uid="{845E8858-753B-4CB2-A2AF-DB4851501975}"/>
    <cellStyle name="Normal 5 3 3 2 6 2 2" xfId="9029" xr:uid="{FAA75EC4-6BED-4D54-BBCE-78DBA31DB63C}"/>
    <cellStyle name="Normal 5 3 3 2 6 3" xfId="6884" xr:uid="{CE8DB6DB-D969-4BED-A430-9C8FD9599446}"/>
    <cellStyle name="Normal 5 3 3 2 7" xfId="2995" xr:uid="{1DA8B7A4-9A41-4D06-8292-171A74A2245B}"/>
    <cellStyle name="Normal 5 3 3 2 7 2" xfId="5224" xr:uid="{3BE20088-F1AB-41B4-927F-86DF57539444}"/>
    <cellStyle name="Normal 5 3 3 2 7 2 2" xfId="9442" xr:uid="{F69A3FA5-AB69-4BFB-9FF6-8A331E2F52FE}"/>
    <cellStyle name="Normal 5 3 3 2 7 3" xfId="7297" xr:uid="{F134FCE5-D87F-40A3-A9CD-C0DD8649FFB4}"/>
    <cellStyle name="Normal 5 3 3 2 8" xfId="3431" xr:uid="{22761F32-26D9-4E67-87B5-2D9477063F64}"/>
    <cellStyle name="Normal 5 3 3 2 8 2" xfId="7710" xr:uid="{BDC9751B-1840-424B-B15A-0BBDE06E090D}"/>
    <cellStyle name="Normal 5 3 3 2 9" xfId="5645" xr:uid="{DB3C8F7A-EEB6-46A9-BF28-A682FC0B1C0C}"/>
    <cellStyle name="Normal 5 3 3 3" xfId="449" xr:uid="{00000000-0005-0000-0000-00001F030000}"/>
    <cellStyle name="Normal 5 3 3 3 2" xfId="450" xr:uid="{00000000-0005-0000-0000-000020030000}"/>
    <cellStyle name="Normal 5 3 3 3 2 2" xfId="929" xr:uid="{00000000-0005-0000-0000-000021030000}"/>
    <cellStyle name="Normal 5 3 3 3 2 2 2" xfId="3990" xr:uid="{58C3C642-821E-4DA1-8DB0-62B7597BBC97}"/>
    <cellStyle name="Normal 5 3 3 3 2 2 2 2" xfId="8208" xr:uid="{522FE638-606E-4B55-A160-6D1EA7643094}"/>
    <cellStyle name="Normal 5 3 3 3 2 2 3" xfId="6063" xr:uid="{C2E8CFA5-F176-4806-8147-993FD168F051}"/>
    <cellStyle name="Normal 5 3 3 3 2 2 4" xfId="1761" xr:uid="{F5B11FD8-B293-4530-94B8-BA08B14E8537}"/>
    <cellStyle name="Normal 5 3 3 3 2 3" xfId="2174" xr:uid="{186BC613-9267-43B9-B182-8247E4490058}"/>
    <cellStyle name="Normal 5 3 3 3 2 3 2" xfId="4403" xr:uid="{9E78BF8E-DB89-47B1-876D-B328C13AA6C3}"/>
    <cellStyle name="Normal 5 3 3 3 2 3 2 2" xfId="8621" xr:uid="{20A97DD3-DF4B-4D01-B070-65DE7B384900}"/>
    <cellStyle name="Normal 5 3 3 3 2 3 3" xfId="6476" xr:uid="{E02EE04C-5410-43FE-BE94-AD53581C63AB}"/>
    <cellStyle name="Normal 5 3 3 3 2 4" xfId="2587" xr:uid="{A8CD1341-FF67-43F8-A5E1-251126967681}"/>
    <cellStyle name="Normal 5 3 3 3 2 4 2" xfId="4816" xr:uid="{5FC56AE0-FD42-4EDF-A193-D2315A646842}"/>
    <cellStyle name="Normal 5 3 3 3 2 4 2 2" xfId="9034" xr:uid="{6253458F-D601-4D30-A394-EBCEE02F0E68}"/>
    <cellStyle name="Normal 5 3 3 3 2 4 3" xfId="6889" xr:uid="{A4B2F6CF-2692-4ECD-B9CF-1B9FDE9D4B28}"/>
    <cellStyle name="Normal 5 3 3 3 2 5" xfId="3000" xr:uid="{9F56F191-6C00-4BD1-AFD4-B13801711787}"/>
    <cellStyle name="Normal 5 3 3 3 2 5 2" xfId="5229" xr:uid="{93F9247E-647D-4EF4-A9A9-F446F02379FC}"/>
    <cellStyle name="Normal 5 3 3 3 2 5 2 2" xfId="9447" xr:uid="{8F066588-E73F-4079-897F-8931EB92FFF0}"/>
    <cellStyle name="Normal 5 3 3 3 2 5 3" xfId="7302" xr:uid="{F6BDC007-1A0B-4692-AB5B-12DA9ED25320}"/>
    <cellStyle name="Normal 5 3 3 3 2 6" xfId="3436" xr:uid="{A460AF6E-3688-42C9-AF8A-AD647D581EDA}"/>
    <cellStyle name="Normal 5 3 3 3 2 6 2" xfId="7715" xr:uid="{DD27496C-5561-4578-8CE8-E4A5440446DF}"/>
    <cellStyle name="Normal 5 3 3 3 2 7" xfId="5650" xr:uid="{0740B8E5-444D-4035-877F-EA95FCEC4098}"/>
    <cellStyle name="Normal 5 3 3 3 2 8" xfId="1346" xr:uid="{669C372F-3B2B-4A96-8B88-C5C821C80BAC}"/>
    <cellStyle name="Normal 5 3 3 3 3" xfId="928" xr:uid="{00000000-0005-0000-0000-000022030000}"/>
    <cellStyle name="Normal 5 3 3 3 3 2" xfId="3989" xr:uid="{FBA960E7-9FDC-4DF1-A9BB-D9DB7B1EE320}"/>
    <cellStyle name="Normal 5 3 3 3 3 2 2" xfId="8207" xr:uid="{EE2EFBDD-7359-4511-B0C6-932CBB505322}"/>
    <cellStyle name="Normal 5 3 3 3 3 3" xfId="6062" xr:uid="{3CC47BB8-0B6B-460D-96AE-A74A6778D4C1}"/>
    <cellStyle name="Normal 5 3 3 3 3 4" xfId="1760" xr:uid="{2B1E892A-59B1-4BD4-B56C-61A94822BB81}"/>
    <cellStyle name="Normal 5 3 3 3 4" xfId="2173" xr:uid="{6DF7556B-52D5-4794-8A6F-CBF4D531525D}"/>
    <cellStyle name="Normal 5 3 3 3 4 2" xfId="4402" xr:uid="{D384FAC7-F5C3-4CE0-AD66-3C7D39832571}"/>
    <cellStyle name="Normal 5 3 3 3 4 2 2" xfId="8620" xr:uid="{9CD0775D-01A8-48A4-A870-1E55DC0A9471}"/>
    <cellStyle name="Normal 5 3 3 3 4 3" xfId="6475" xr:uid="{FA069DBC-0A41-4CDA-977A-23B5D1CAC8E7}"/>
    <cellStyle name="Normal 5 3 3 3 5" xfId="2586" xr:uid="{79FDB401-5B2E-4E0B-88F8-8AA6FFEFBC4E}"/>
    <cellStyle name="Normal 5 3 3 3 5 2" xfId="4815" xr:uid="{4F7E22C4-0DD6-4626-AC40-BD184E56D2DB}"/>
    <cellStyle name="Normal 5 3 3 3 5 2 2" xfId="9033" xr:uid="{D7F629CC-F11E-433F-93CF-0892A8F4F69A}"/>
    <cellStyle name="Normal 5 3 3 3 5 3" xfId="6888" xr:uid="{69C4F7EF-6D32-4395-8005-7989B22760B3}"/>
    <cellStyle name="Normal 5 3 3 3 6" xfId="2999" xr:uid="{8CF69A7B-DC9F-40E3-9C81-BE6351202EAA}"/>
    <cellStyle name="Normal 5 3 3 3 6 2" xfId="5228" xr:uid="{70A4647F-3AFC-4A98-8E43-3F3D0194D5BF}"/>
    <cellStyle name="Normal 5 3 3 3 6 2 2" xfId="9446" xr:uid="{6933487E-F436-47E2-A72B-AA4143211DB1}"/>
    <cellStyle name="Normal 5 3 3 3 6 3" xfId="7301" xr:uid="{380B447A-897A-4F39-AFC8-F34F3DDA762E}"/>
    <cellStyle name="Normal 5 3 3 3 7" xfId="3435" xr:uid="{9DBF010E-1C61-4C27-BBC8-04B80E108D7E}"/>
    <cellStyle name="Normal 5 3 3 3 7 2" xfId="7714" xr:uid="{03BF09D2-58B2-40F2-80F6-F60EBDB09F2F}"/>
    <cellStyle name="Normal 5 3 3 3 8" xfId="5649" xr:uid="{DA8B7CC4-E77A-4ADE-9871-481EAD5BAF6D}"/>
    <cellStyle name="Normal 5 3 3 3 9" xfId="1345" xr:uid="{9F4A8E44-2B18-49BE-A912-B14B141F9371}"/>
    <cellStyle name="Normal 5 3 3 4" xfId="451" xr:uid="{00000000-0005-0000-0000-000023030000}"/>
    <cellStyle name="Normal 5 3 3 4 2" xfId="930" xr:uid="{00000000-0005-0000-0000-000024030000}"/>
    <cellStyle name="Normal 5 3 3 4 2 2" xfId="3991" xr:uid="{F2E32B1E-722F-4D25-8052-7391051BC828}"/>
    <cellStyle name="Normal 5 3 3 4 2 2 2" xfId="8209" xr:uid="{E4DA9A1B-383E-415F-B17C-2B1DC354D551}"/>
    <cellStyle name="Normal 5 3 3 4 2 3" xfId="6064" xr:uid="{45A7B8F6-69B9-4137-9B35-82C3224C774C}"/>
    <cellStyle name="Normal 5 3 3 4 2 4" xfId="1762" xr:uid="{911A0FA6-6948-4E5E-955D-91262227D77F}"/>
    <cellStyle name="Normal 5 3 3 4 3" xfId="2175" xr:uid="{618F5BDD-256B-4E2F-89D6-894348D16CD7}"/>
    <cellStyle name="Normal 5 3 3 4 3 2" xfId="4404" xr:uid="{9766BA35-BA4E-4C8E-8D76-C927C20316FE}"/>
    <cellStyle name="Normal 5 3 3 4 3 2 2" xfId="8622" xr:uid="{D13CFB7B-420C-4869-9390-A902784F5A7C}"/>
    <cellStyle name="Normal 5 3 3 4 3 3" xfId="6477" xr:uid="{F89036CE-A986-4AAB-9C18-186DCCC34F3E}"/>
    <cellStyle name="Normal 5 3 3 4 4" xfId="2588" xr:uid="{32607A0D-A7F5-4B9A-8E96-6C8BFCF59A6E}"/>
    <cellStyle name="Normal 5 3 3 4 4 2" xfId="4817" xr:uid="{6CCE9C3A-7F85-4100-8164-512FF6692C43}"/>
    <cellStyle name="Normal 5 3 3 4 4 2 2" xfId="9035" xr:uid="{F187B947-906B-42A2-B21C-7C274A31EAFB}"/>
    <cellStyle name="Normal 5 3 3 4 4 3" xfId="6890" xr:uid="{88702F4A-0F22-4FB9-AFCB-A5945EE1E58D}"/>
    <cellStyle name="Normal 5 3 3 4 5" xfId="3001" xr:uid="{F106F106-3C83-4131-9389-19011506AF41}"/>
    <cellStyle name="Normal 5 3 3 4 5 2" xfId="5230" xr:uid="{793DFC23-0F3F-4987-B735-937405694968}"/>
    <cellStyle name="Normal 5 3 3 4 5 2 2" xfId="9448" xr:uid="{E2DD51C2-8B82-4D3E-B179-37DAE8799A91}"/>
    <cellStyle name="Normal 5 3 3 4 5 3" xfId="7303" xr:uid="{0AD47DB9-F1E8-4419-AC76-86BFC14FDA3C}"/>
    <cellStyle name="Normal 5 3 3 4 6" xfId="3437" xr:uid="{3FC57A83-899F-45BD-8F5F-F3F2F7814BF4}"/>
    <cellStyle name="Normal 5 3 3 4 6 2" xfId="7716" xr:uid="{121A44C4-0F01-4EB1-9CA8-9EE1E4E95AA5}"/>
    <cellStyle name="Normal 5 3 3 4 7" xfId="5651" xr:uid="{3D79B51C-39F1-4B0E-BEE2-4356F18DE101}"/>
    <cellStyle name="Normal 5 3 3 4 8" xfId="1347" xr:uid="{C384274D-379B-4CF4-BC31-43F12FE68014}"/>
    <cellStyle name="Normal 5 3 3 5" xfId="923" xr:uid="{00000000-0005-0000-0000-000025030000}"/>
    <cellStyle name="Normal 5 3 3 5 2" xfId="3984" xr:uid="{A5C92553-B9FF-4055-B1CA-5BD7148FC961}"/>
    <cellStyle name="Normal 5 3 3 5 2 2" xfId="8202" xr:uid="{CF78F835-ABB9-497B-889C-4E1DF96F6DE2}"/>
    <cellStyle name="Normal 5 3 3 5 3" xfId="6057" xr:uid="{F605A2F9-FE0E-4486-B8E3-B3C7289E88BF}"/>
    <cellStyle name="Normal 5 3 3 5 4" xfId="1755" xr:uid="{355C9D4E-FE60-4F3F-A725-E9C0F71D9383}"/>
    <cellStyle name="Normal 5 3 3 6" xfId="2168" xr:uid="{DEAB5613-511E-424F-BE5D-B76F8CF50B0F}"/>
    <cellStyle name="Normal 5 3 3 6 2" xfId="4397" xr:uid="{09F4B64A-D706-4DC8-9A45-8583F1349673}"/>
    <cellStyle name="Normal 5 3 3 6 2 2" xfId="8615" xr:uid="{88A031E9-83D4-4352-B2A6-4E8710788074}"/>
    <cellStyle name="Normal 5 3 3 6 3" xfId="6470" xr:uid="{8CA926CD-84E7-42CA-B881-2B594ABE8EC1}"/>
    <cellStyle name="Normal 5 3 3 7" xfId="2581" xr:uid="{93CC7E54-E1D0-4256-9EBF-4B68FEA34D55}"/>
    <cellStyle name="Normal 5 3 3 7 2" xfId="4810" xr:uid="{ECAAAC63-CEC5-41E1-84D5-1E2FCAE2D9E6}"/>
    <cellStyle name="Normal 5 3 3 7 2 2" xfId="9028" xr:uid="{759EF1B4-DF13-4918-9325-30E162D35038}"/>
    <cellStyle name="Normal 5 3 3 7 3" xfId="6883" xr:uid="{E00CCD58-8BFF-4B54-86A5-95289A3F52A1}"/>
    <cellStyle name="Normal 5 3 3 8" xfId="2994" xr:uid="{12F1FB73-7728-4F84-925F-0D94ED04BFCB}"/>
    <cellStyle name="Normal 5 3 3 8 2" xfId="5223" xr:uid="{C59B3D77-2B24-4D50-8E81-580B7268E335}"/>
    <cellStyle name="Normal 5 3 3 8 2 2" xfId="9441" xr:uid="{921E75D5-90F2-499B-BC5C-E25669C2D95E}"/>
    <cellStyle name="Normal 5 3 3 8 3" xfId="7296" xr:uid="{E4E52848-62BE-4AEB-A8F4-415AFAB57EF7}"/>
    <cellStyle name="Normal 5 3 3 9" xfId="3430" xr:uid="{D2026DC0-936C-4AEF-AD73-6B23DB35FFAC}"/>
    <cellStyle name="Normal 5 3 3 9 2" xfId="7709" xr:uid="{4A116C9A-B938-4331-9560-BC1D058300CC}"/>
    <cellStyle name="Normal 5 3 4" xfId="452" xr:uid="{00000000-0005-0000-0000-000026030000}"/>
    <cellStyle name="Normal 5 3 4 10" xfId="1348" xr:uid="{8746C5A5-6579-4251-A926-ED07625EAEB6}"/>
    <cellStyle name="Normal 5 3 4 2" xfId="453" xr:uid="{00000000-0005-0000-0000-000027030000}"/>
    <cellStyle name="Normal 5 3 4 2 2" xfId="454" xr:uid="{00000000-0005-0000-0000-000028030000}"/>
    <cellStyle name="Normal 5 3 4 2 2 2" xfId="933" xr:uid="{00000000-0005-0000-0000-000029030000}"/>
    <cellStyle name="Normal 5 3 4 2 2 2 2" xfId="3994" xr:uid="{A28FF33E-C2D9-49C6-82D2-14AB7A4701D6}"/>
    <cellStyle name="Normal 5 3 4 2 2 2 2 2" xfId="8212" xr:uid="{EAAA592F-5A98-4035-9E07-0B9E95DEB61D}"/>
    <cellStyle name="Normal 5 3 4 2 2 2 3" xfId="6067" xr:uid="{932BEEA2-08B8-4088-9692-3F903371C420}"/>
    <cellStyle name="Normal 5 3 4 2 2 2 4" xfId="1765" xr:uid="{FA3506BD-8274-4AFD-86BE-18A9175E6E6D}"/>
    <cellStyle name="Normal 5 3 4 2 2 3" xfId="2178" xr:uid="{E7F9F6BC-7679-437F-9E2F-226A84AFF1A1}"/>
    <cellStyle name="Normal 5 3 4 2 2 3 2" xfId="4407" xr:uid="{632B08C0-0D76-4D60-A737-3E42B212196E}"/>
    <cellStyle name="Normal 5 3 4 2 2 3 2 2" xfId="8625" xr:uid="{8FB126D6-F9A8-468D-81C3-A0E10E40A6EF}"/>
    <cellStyle name="Normal 5 3 4 2 2 3 3" xfId="6480" xr:uid="{5085EF2B-12B8-4AAC-AF8E-99A710273A4F}"/>
    <cellStyle name="Normal 5 3 4 2 2 4" xfId="2591" xr:uid="{BC94243C-0487-4AD5-B89F-88572A350471}"/>
    <cellStyle name="Normal 5 3 4 2 2 4 2" xfId="4820" xr:uid="{B87AD37C-8AB9-431D-84A5-E3D91AE26DF0}"/>
    <cellStyle name="Normal 5 3 4 2 2 4 2 2" xfId="9038" xr:uid="{6CA3CE26-842D-4869-80E0-DDCD2B92B32E}"/>
    <cellStyle name="Normal 5 3 4 2 2 4 3" xfId="6893" xr:uid="{F4205775-A5E1-4028-9D68-E88239E941AA}"/>
    <cellStyle name="Normal 5 3 4 2 2 5" xfId="3004" xr:uid="{0ECF9D95-17F5-43E4-AB8E-12F4E8F26890}"/>
    <cellStyle name="Normal 5 3 4 2 2 5 2" xfId="5233" xr:uid="{46350DAD-E802-420F-9AC9-3F4525BFFBCE}"/>
    <cellStyle name="Normal 5 3 4 2 2 5 2 2" xfId="9451" xr:uid="{BD7C380B-87C9-4AD0-A918-78274AC0C2E1}"/>
    <cellStyle name="Normal 5 3 4 2 2 5 3" xfId="7306" xr:uid="{D8B3EB21-A040-42CE-B16D-1F209AF930F1}"/>
    <cellStyle name="Normal 5 3 4 2 2 6" xfId="3440" xr:uid="{DF26DF3C-F2AB-42CB-A730-8805759C0381}"/>
    <cellStyle name="Normal 5 3 4 2 2 6 2" xfId="7719" xr:uid="{EA8F4E04-0453-45BB-A9C3-C0A8701D2521}"/>
    <cellStyle name="Normal 5 3 4 2 2 7" xfId="5654" xr:uid="{A1C94EEA-1F8E-4BC4-8427-8EA921898019}"/>
    <cellStyle name="Normal 5 3 4 2 2 8" xfId="1350" xr:uid="{81F06961-F4B3-4C1C-B1B3-5D80B380E4D6}"/>
    <cellStyle name="Normal 5 3 4 2 3" xfId="932" xr:uid="{00000000-0005-0000-0000-00002A030000}"/>
    <cellStyle name="Normal 5 3 4 2 3 2" xfId="3993" xr:uid="{102CE81C-2C53-411F-B38E-C8A5B6A3650F}"/>
    <cellStyle name="Normal 5 3 4 2 3 2 2" xfId="8211" xr:uid="{0077C83A-18B9-484B-86BF-5FC7D5CF4DE5}"/>
    <cellStyle name="Normal 5 3 4 2 3 3" xfId="6066" xr:uid="{51FD7EE6-1FB7-4F5D-91DB-672F855EBF08}"/>
    <cellStyle name="Normal 5 3 4 2 3 4" xfId="1764" xr:uid="{5B79C16A-9F82-4646-8190-0F909A059ACE}"/>
    <cellStyle name="Normal 5 3 4 2 4" xfId="2177" xr:uid="{11481770-3FBA-4B78-B7F1-F77B43FFDFEF}"/>
    <cellStyle name="Normal 5 3 4 2 4 2" xfId="4406" xr:uid="{97F7A1E2-997A-4C73-897A-9BD4E1063D58}"/>
    <cellStyle name="Normal 5 3 4 2 4 2 2" xfId="8624" xr:uid="{B4757D8A-BEC6-4605-8C8F-762AB4BE2485}"/>
    <cellStyle name="Normal 5 3 4 2 4 3" xfId="6479" xr:uid="{F4E907E1-74A6-4CEF-B94B-BC0F2A2486CB}"/>
    <cellStyle name="Normal 5 3 4 2 5" xfId="2590" xr:uid="{93F25287-EB12-49C3-ACAC-7B2FB03C8BEC}"/>
    <cellStyle name="Normal 5 3 4 2 5 2" xfId="4819" xr:uid="{ECE87CF1-EF93-4305-9B15-337D73AC5515}"/>
    <cellStyle name="Normal 5 3 4 2 5 2 2" xfId="9037" xr:uid="{049D83F7-46B0-4703-A685-11EE16C7F288}"/>
    <cellStyle name="Normal 5 3 4 2 5 3" xfId="6892" xr:uid="{C6957ACD-BBBA-48BD-87A6-81992F6A266E}"/>
    <cellStyle name="Normal 5 3 4 2 6" xfId="3003" xr:uid="{EBD88C03-630B-4BCD-A70E-C8C234E1CAC3}"/>
    <cellStyle name="Normal 5 3 4 2 6 2" xfId="5232" xr:uid="{B948DBD1-B6E5-4F5F-A128-7591E57128B9}"/>
    <cellStyle name="Normal 5 3 4 2 6 2 2" xfId="9450" xr:uid="{BCCD7E2F-0504-42D7-B651-982AA7963AB8}"/>
    <cellStyle name="Normal 5 3 4 2 6 3" xfId="7305" xr:uid="{1C04555E-811D-4E58-816F-23BA84ED9DC2}"/>
    <cellStyle name="Normal 5 3 4 2 7" xfId="3439" xr:uid="{E4D1F88B-DBA9-4E92-A5BD-791876E3794A}"/>
    <cellStyle name="Normal 5 3 4 2 7 2" xfId="7718" xr:uid="{C292BE25-4F22-4375-B190-E8EBB71A3D2C}"/>
    <cellStyle name="Normal 5 3 4 2 8" xfId="5653" xr:uid="{AE23DF68-68DB-4056-B02C-AAA3C1ECE096}"/>
    <cellStyle name="Normal 5 3 4 2 9" xfId="1349" xr:uid="{7B0749C6-3C92-46D2-800D-45D8607B2B29}"/>
    <cellStyle name="Normal 5 3 4 3" xfId="455" xr:uid="{00000000-0005-0000-0000-00002B030000}"/>
    <cellStyle name="Normal 5 3 4 3 2" xfId="934" xr:uid="{00000000-0005-0000-0000-00002C030000}"/>
    <cellStyle name="Normal 5 3 4 3 2 2" xfId="3995" xr:uid="{FF913BC4-1BA8-42F5-8909-DBBF7D6D821B}"/>
    <cellStyle name="Normal 5 3 4 3 2 2 2" xfId="8213" xr:uid="{8F678664-5588-45A3-8AC4-918D7B0DBE77}"/>
    <cellStyle name="Normal 5 3 4 3 2 3" xfId="6068" xr:uid="{81CA1746-83D4-47AA-AB78-C5E1C3751F93}"/>
    <cellStyle name="Normal 5 3 4 3 2 4" xfId="1766" xr:uid="{270E06C6-8F64-431F-839B-A56EFA47CED1}"/>
    <cellStyle name="Normal 5 3 4 3 3" xfId="2179" xr:uid="{79097B62-BC5A-404F-948E-1B912FF872DE}"/>
    <cellStyle name="Normal 5 3 4 3 3 2" xfId="4408" xr:uid="{296C77CF-A73A-43CB-874A-C876A1F73139}"/>
    <cellStyle name="Normal 5 3 4 3 3 2 2" xfId="8626" xr:uid="{BF190DCE-A96D-41D8-B677-0FD00A019466}"/>
    <cellStyle name="Normal 5 3 4 3 3 3" xfId="6481" xr:uid="{24994B6F-D9D9-4252-9EBC-31D5DD8FD148}"/>
    <cellStyle name="Normal 5 3 4 3 4" xfId="2592" xr:uid="{C1C4A792-360F-4A64-A7B0-2929C44EBC8B}"/>
    <cellStyle name="Normal 5 3 4 3 4 2" xfId="4821" xr:uid="{A135D2F2-B8E1-4001-AB6E-8EF237263107}"/>
    <cellStyle name="Normal 5 3 4 3 4 2 2" xfId="9039" xr:uid="{811049EE-36D0-4B20-9994-AE638D30E20A}"/>
    <cellStyle name="Normal 5 3 4 3 4 3" xfId="6894" xr:uid="{D2829F38-E5F0-48D9-82A0-F8865285F91A}"/>
    <cellStyle name="Normal 5 3 4 3 5" xfId="3005" xr:uid="{B718E24F-F7A8-427B-8219-A631EABB18BA}"/>
    <cellStyle name="Normal 5 3 4 3 5 2" xfId="5234" xr:uid="{5A1334D6-96F1-411B-B8E4-36E2A7526D64}"/>
    <cellStyle name="Normal 5 3 4 3 5 2 2" xfId="9452" xr:uid="{46ED3EA2-222C-4C5C-B352-BEBF1ACDF6AE}"/>
    <cellStyle name="Normal 5 3 4 3 5 3" xfId="7307" xr:uid="{C7340830-E385-4DD4-9ADE-5E70CD9E165C}"/>
    <cellStyle name="Normal 5 3 4 3 6" xfId="3441" xr:uid="{4CC16080-C85F-41AF-B458-A379869B9ABB}"/>
    <cellStyle name="Normal 5 3 4 3 6 2" xfId="7720" xr:uid="{E1148EA3-557F-475F-88D0-F57C927DE12B}"/>
    <cellStyle name="Normal 5 3 4 3 7" xfId="5655" xr:uid="{74E83194-D3D7-4AFB-B436-30522E91868B}"/>
    <cellStyle name="Normal 5 3 4 3 8" xfId="1351" xr:uid="{D491D32F-C807-4B19-BC1E-B3659DF05BC7}"/>
    <cellStyle name="Normal 5 3 4 4" xfId="931" xr:uid="{00000000-0005-0000-0000-00002D030000}"/>
    <cellStyle name="Normal 5 3 4 4 2" xfId="3992" xr:uid="{5B38BA56-7791-406D-9180-B33220C3BFE1}"/>
    <cellStyle name="Normal 5 3 4 4 2 2" xfId="8210" xr:uid="{940DD568-AD5D-4584-BA34-33B8CF8396C5}"/>
    <cellStyle name="Normal 5 3 4 4 3" xfId="6065" xr:uid="{009F390A-67B6-4D0B-B693-83AE3EEC3EC0}"/>
    <cellStyle name="Normal 5 3 4 4 4" xfId="1763" xr:uid="{AF74FE83-635E-4D2E-B630-A8C149697D22}"/>
    <cellStyle name="Normal 5 3 4 5" xfId="2176" xr:uid="{EA5C2825-52FE-4642-9978-A5610414D197}"/>
    <cellStyle name="Normal 5 3 4 5 2" xfId="4405" xr:uid="{C4B0CF0C-D310-4D07-B7E5-D6AD0AA47198}"/>
    <cellStyle name="Normal 5 3 4 5 2 2" xfId="8623" xr:uid="{EB69FFD3-4E86-4BE7-9F72-1BDA95945977}"/>
    <cellStyle name="Normal 5 3 4 5 3" xfId="6478" xr:uid="{92F82DC7-9EC9-40CD-9734-3B5C9372E980}"/>
    <cellStyle name="Normal 5 3 4 6" xfId="2589" xr:uid="{9F377EBD-8290-4641-B6D6-EE96D9698832}"/>
    <cellStyle name="Normal 5 3 4 6 2" xfId="4818" xr:uid="{C400831F-6C9B-428B-B241-821FAC3159A8}"/>
    <cellStyle name="Normal 5 3 4 6 2 2" xfId="9036" xr:uid="{04543C5A-FD29-4015-80AC-5F4408C4FB90}"/>
    <cellStyle name="Normal 5 3 4 6 3" xfId="6891" xr:uid="{57D230D8-7B95-48F9-BA67-367D5B60E5BF}"/>
    <cellStyle name="Normal 5 3 4 7" xfId="3002" xr:uid="{2B60C619-2069-4AF8-88A1-B0841AF1B3F0}"/>
    <cellStyle name="Normal 5 3 4 7 2" xfId="5231" xr:uid="{CECD11ED-EA15-4750-B46C-F26AACD666B8}"/>
    <cellStyle name="Normal 5 3 4 7 2 2" xfId="9449" xr:uid="{668B1B94-9B4C-425A-BE8C-A90F9EC91C64}"/>
    <cellStyle name="Normal 5 3 4 7 3" xfId="7304" xr:uid="{8902FBAB-E553-4852-A11D-D469CE06DEA1}"/>
    <cellStyle name="Normal 5 3 4 8" xfId="3438" xr:uid="{8D9A1F82-5FA9-48CC-B990-1DE6F5E371B0}"/>
    <cellStyle name="Normal 5 3 4 8 2" xfId="7717" xr:uid="{B7DB373D-BD96-4442-A6BA-D3BC52DA52F7}"/>
    <cellStyle name="Normal 5 3 4 9" xfId="5652" xr:uid="{51B1FF86-0CFE-4048-A233-F0825DD356DA}"/>
    <cellStyle name="Normal 5 3 5" xfId="456" xr:uid="{00000000-0005-0000-0000-00002E030000}"/>
    <cellStyle name="Normal 5 3 5 2" xfId="457" xr:uid="{00000000-0005-0000-0000-00002F030000}"/>
    <cellStyle name="Normal 5 3 5 2 2" xfId="936" xr:uid="{00000000-0005-0000-0000-000030030000}"/>
    <cellStyle name="Normal 5 3 5 2 2 2" xfId="3997" xr:uid="{AEF09457-E90D-471A-952B-4E9E305E49BC}"/>
    <cellStyle name="Normal 5 3 5 2 2 2 2" xfId="8215" xr:uid="{94394D02-C2AA-4904-A66D-B96748249E51}"/>
    <cellStyle name="Normal 5 3 5 2 2 3" xfId="6070" xr:uid="{88C807AB-CF7A-4867-992B-A809D8BB0917}"/>
    <cellStyle name="Normal 5 3 5 2 2 4" xfId="1768" xr:uid="{37705138-AEEB-4428-9446-15AC854C636D}"/>
    <cellStyle name="Normal 5 3 5 2 3" xfId="2181" xr:uid="{9DAC2107-BDF4-48BB-B932-6767DD48B124}"/>
    <cellStyle name="Normal 5 3 5 2 3 2" xfId="4410" xr:uid="{8E10611F-6643-4CE9-8050-A79C21DD1D4E}"/>
    <cellStyle name="Normal 5 3 5 2 3 2 2" xfId="8628" xr:uid="{214C6F69-996D-4EB2-82E0-B2E56A58AB1A}"/>
    <cellStyle name="Normal 5 3 5 2 3 3" xfId="6483" xr:uid="{EB9F6A72-085A-48E5-BC55-8048CA5BA60F}"/>
    <cellStyle name="Normal 5 3 5 2 4" xfId="2594" xr:uid="{A9780F2D-8024-4BCD-90A1-2F9022BB5A3E}"/>
    <cellStyle name="Normal 5 3 5 2 4 2" xfId="4823" xr:uid="{C64CE029-B323-4B31-BDC8-5E1A5B9B8482}"/>
    <cellStyle name="Normal 5 3 5 2 4 2 2" xfId="9041" xr:uid="{C686480E-D1CB-4DA5-A9BC-6D784914E94A}"/>
    <cellStyle name="Normal 5 3 5 2 4 3" xfId="6896" xr:uid="{A59EC422-E272-47C6-B172-3C4E4D6614AA}"/>
    <cellStyle name="Normal 5 3 5 2 5" xfId="3007" xr:uid="{9A5AAAAC-EA1C-46F4-9BCA-4F691B190E88}"/>
    <cellStyle name="Normal 5 3 5 2 5 2" xfId="5236" xr:uid="{73A5B089-0B8A-4A49-BCE6-CE953915F911}"/>
    <cellStyle name="Normal 5 3 5 2 5 2 2" xfId="9454" xr:uid="{80003F4C-4289-4DC8-80AA-E9E0F4772B05}"/>
    <cellStyle name="Normal 5 3 5 2 5 3" xfId="7309" xr:uid="{189B4633-630F-4664-91F1-9A0DBDF612BB}"/>
    <cellStyle name="Normal 5 3 5 2 6" xfId="3443" xr:uid="{5D70E960-AAD4-4BF3-B203-BC9B42DD8DC4}"/>
    <cellStyle name="Normal 5 3 5 2 6 2" xfId="7722" xr:uid="{0EF909C8-855C-42FD-AB8C-E40CEC176DC4}"/>
    <cellStyle name="Normal 5 3 5 2 7" xfId="5657" xr:uid="{1F7265D1-71E3-42AB-AC6B-573AEA8952A2}"/>
    <cellStyle name="Normal 5 3 5 2 8" xfId="1353" xr:uid="{6062BE67-3E69-4AC3-9DC7-3104D18038C0}"/>
    <cellStyle name="Normal 5 3 5 3" xfId="935" xr:uid="{00000000-0005-0000-0000-000031030000}"/>
    <cellStyle name="Normal 5 3 5 3 2" xfId="3996" xr:uid="{DB516202-F7F6-4C02-93B5-BB2ABBBDA04E}"/>
    <cellStyle name="Normal 5 3 5 3 2 2" xfId="8214" xr:uid="{C9DC68C5-9210-41FC-A7D3-55D9D02A9E2D}"/>
    <cellStyle name="Normal 5 3 5 3 3" xfId="6069" xr:uid="{6B156981-320B-425E-A301-5BFA13F62657}"/>
    <cellStyle name="Normal 5 3 5 3 4" xfId="1767" xr:uid="{29D9E7B0-38E1-477D-9CB8-EB3E0B008222}"/>
    <cellStyle name="Normal 5 3 5 4" xfId="2180" xr:uid="{8882A0F5-7C05-4E8B-8E18-A9ECA3E108A9}"/>
    <cellStyle name="Normal 5 3 5 4 2" xfId="4409" xr:uid="{C6C75B0E-491E-4F59-871A-98A70B37B768}"/>
    <cellStyle name="Normal 5 3 5 4 2 2" xfId="8627" xr:uid="{7FE80F09-6F2C-412A-8236-5B1CD6955CBD}"/>
    <cellStyle name="Normal 5 3 5 4 3" xfId="6482" xr:uid="{96A3BA6F-9A18-48F2-9ABC-522C5197EDFE}"/>
    <cellStyle name="Normal 5 3 5 5" xfId="2593" xr:uid="{B6A1937B-9E84-47D3-B1D4-25A0F1B269D2}"/>
    <cellStyle name="Normal 5 3 5 5 2" xfId="4822" xr:uid="{B0227B89-9FF7-4B84-BC32-3E88C82591D4}"/>
    <cellStyle name="Normal 5 3 5 5 2 2" xfId="9040" xr:uid="{99D6D7DF-5342-4BED-9098-2EB528EB06FF}"/>
    <cellStyle name="Normal 5 3 5 5 3" xfId="6895" xr:uid="{469C9C7C-0816-47AF-B757-B896902AC6C3}"/>
    <cellStyle name="Normal 5 3 5 6" xfId="3006" xr:uid="{49B188F1-22F3-4B08-BFE1-CBD51E338C2E}"/>
    <cellStyle name="Normal 5 3 5 6 2" xfId="5235" xr:uid="{F4EA96EA-D860-4539-BEFA-D3393C45B70D}"/>
    <cellStyle name="Normal 5 3 5 6 2 2" xfId="9453" xr:uid="{81A079BB-D0EA-4321-883E-866B0DD1891F}"/>
    <cellStyle name="Normal 5 3 5 6 3" xfId="7308" xr:uid="{F758C60C-C746-45F1-A878-C8D551046148}"/>
    <cellStyle name="Normal 5 3 5 7" xfId="3442" xr:uid="{7CAA64E0-266F-440A-847F-5B82E0612424}"/>
    <cellStyle name="Normal 5 3 5 7 2" xfId="7721" xr:uid="{D0BE811A-323D-4D46-9AA7-1DA08BF0D25B}"/>
    <cellStyle name="Normal 5 3 5 8" xfId="5656" xr:uid="{6D871E52-549B-43C4-B5CB-67009A1F994E}"/>
    <cellStyle name="Normal 5 3 5 9" xfId="1352" xr:uid="{EA51D5D8-8887-4998-BCA5-BFB15A29BD54}"/>
    <cellStyle name="Normal 5 3 6" xfId="458" xr:uid="{00000000-0005-0000-0000-000032030000}"/>
    <cellStyle name="Normal 5 3 6 2" xfId="937" xr:uid="{00000000-0005-0000-0000-000033030000}"/>
    <cellStyle name="Normal 5 3 6 2 2" xfId="3998" xr:uid="{C4E6C784-772F-4826-861D-5148CF37FF91}"/>
    <cellStyle name="Normal 5 3 6 2 2 2" xfId="8216" xr:uid="{862709BC-B86F-4D21-820C-BC5AEC1960A2}"/>
    <cellStyle name="Normal 5 3 6 2 3" xfId="6071" xr:uid="{F438FD40-111D-41A5-9547-5D83E96F46C9}"/>
    <cellStyle name="Normal 5 3 6 2 4" xfId="1769" xr:uid="{4AE14591-7D24-4CD7-A249-A4A3DDB3BBC7}"/>
    <cellStyle name="Normal 5 3 6 3" xfId="2182" xr:uid="{BC102E6E-EC74-4917-B536-769207FACB4F}"/>
    <cellStyle name="Normal 5 3 6 3 2" xfId="4411" xr:uid="{AC27950D-8603-40D0-80AB-ECA9E6B12D95}"/>
    <cellStyle name="Normal 5 3 6 3 2 2" xfId="8629" xr:uid="{604C4C08-3F45-49DF-BC06-38C8B062D3E5}"/>
    <cellStyle name="Normal 5 3 6 3 3" xfId="6484" xr:uid="{C2494B19-8DB2-45D3-BAB5-8E2E24CE1FA4}"/>
    <cellStyle name="Normal 5 3 6 4" xfId="2595" xr:uid="{EA174EEF-EAD5-43D2-9A85-49DB43A33D96}"/>
    <cellStyle name="Normal 5 3 6 4 2" xfId="4824" xr:uid="{09D552DB-5537-4E62-A897-F52476F62A3E}"/>
    <cellStyle name="Normal 5 3 6 4 2 2" xfId="9042" xr:uid="{BE32C03B-B903-46A7-A309-A30149B11440}"/>
    <cellStyle name="Normal 5 3 6 4 3" xfId="6897" xr:uid="{1002DFE3-00B4-44F1-9F4D-844DE043967B}"/>
    <cellStyle name="Normal 5 3 6 5" xfId="3008" xr:uid="{68E30220-F758-400F-90FF-0E737BC389B6}"/>
    <cellStyle name="Normal 5 3 6 5 2" xfId="5237" xr:uid="{8E40534F-CC76-4F91-815B-CF0887849E03}"/>
    <cellStyle name="Normal 5 3 6 5 2 2" xfId="9455" xr:uid="{DD1F84B2-4D5E-48E8-8AFA-923528581EDE}"/>
    <cellStyle name="Normal 5 3 6 5 3" xfId="7310" xr:uid="{DC8FA566-5032-4C59-8C9C-D888BA35F587}"/>
    <cellStyle name="Normal 5 3 6 6" xfId="3444" xr:uid="{875A4E4C-E958-4424-8213-70B910128ABA}"/>
    <cellStyle name="Normal 5 3 6 6 2" xfId="7723" xr:uid="{80039604-6735-463F-8BAF-6C51A87B1722}"/>
    <cellStyle name="Normal 5 3 6 7" xfId="5658" xr:uid="{C9EC6A63-67C8-45A7-8CA8-4E7CBAF114E7}"/>
    <cellStyle name="Normal 5 3 6 8" xfId="1354" xr:uid="{B32B1DAD-A9BB-453A-A81D-2303C1332801}"/>
    <cellStyle name="Normal 5 3 7" xfId="921" xr:uid="{00000000-0005-0000-0000-000034030000}"/>
    <cellStyle name="Normal 5 3 7 2" xfId="3983" xr:uid="{5D8D0646-5080-41BC-9309-4FFB32E099DA}"/>
    <cellStyle name="Normal 5 3 7 2 2" xfId="8201" xr:uid="{5D7E012B-3700-402F-8B8B-DA2000023AEA}"/>
    <cellStyle name="Normal 5 3 7 3" xfId="6056" xr:uid="{82E8854C-E128-4DE2-8041-04224F4CF8A4}"/>
    <cellStyle name="Normal 5 3 7 4" xfId="1754" xr:uid="{8485CF78-D95F-4380-B463-68F9800B7D34}"/>
    <cellStyle name="Normal 5 3 8" xfId="2167" xr:uid="{CE4D75D6-0E44-46D0-BB73-5372190AA31F}"/>
    <cellStyle name="Normal 5 3 8 2" xfId="4396" xr:uid="{F61E5245-18BE-4367-AABE-F28FC2F24474}"/>
    <cellStyle name="Normal 5 3 8 2 2" xfId="8614" xr:uid="{328B7370-01F4-4C1A-B75C-A643142CF4BF}"/>
    <cellStyle name="Normal 5 3 8 3" xfId="6469" xr:uid="{3743D54D-BC9C-4674-93A4-4D531A9ED3C1}"/>
    <cellStyle name="Normal 5 3 9" xfId="2580" xr:uid="{0891A7C6-09BD-49BB-904A-57E6089CA096}"/>
    <cellStyle name="Normal 5 3 9 2" xfId="4809" xr:uid="{A4394F97-9BDE-408E-AE76-84250424700E}"/>
    <cellStyle name="Normal 5 3 9 2 2" xfId="9027" xr:uid="{2C74BBA5-D7E7-47BE-975A-585A5DCC79B2}"/>
    <cellStyle name="Normal 5 3 9 3" xfId="6882" xr:uid="{4E4684A0-DD83-4A39-A07B-76D1C290D0E9}"/>
    <cellStyle name="Normal 5 4" xfId="459" xr:uid="{00000000-0005-0000-0000-000035030000}"/>
    <cellStyle name="Normal 5 4 10" xfId="5659" xr:uid="{AE0879A2-6E0F-4413-8F8A-5EBA59441B3B}"/>
    <cellStyle name="Normal 5 4 11" xfId="1355" xr:uid="{01F7A1D0-FC3E-41CE-B3BF-8A0C4EF39E5A}"/>
    <cellStyle name="Normal 5 4 2" xfId="460" xr:uid="{00000000-0005-0000-0000-000036030000}"/>
    <cellStyle name="Normal 5 4 2 10" xfId="1356" xr:uid="{1E413DE4-AF16-4C53-95D5-C04C2027A568}"/>
    <cellStyle name="Normal 5 4 2 2" xfId="461" xr:uid="{00000000-0005-0000-0000-000037030000}"/>
    <cellStyle name="Normal 5 4 2 2 2" xfId="462" xr:uid="{00000000-0005-0000-0000-000038030000}"/>
    <cellStyle name="Normal 5 4 2 2 2 2" xfId="941" xr:uid="{00000000-0005-0000-0000-000039030000}"/>
    <cellStyle name="Normal 5 4 2 2 2 2 2" xfId="4002" xr:uid="{CB242D95-97E5-4210-A040-59588A5B1C70}"/>
    <cellStyle name="Normal 5 4 2 2 2 2 2 2" xfId="8220" xr:uid="{AAE986A9-E456-4FEC-9A08-1BD1C9E9795A}"/>
    <cellStyle name="Normal 5 4 2 2 2 2 3" xfId="6075" xr:uid="{3BCD93C2-D829-4EFF-81C6-97D89C869934}"/>
    <cellStyle name="Normal 5 4 2 2 2 2 4" xfId="1773" xr:uid="{CA272007-1303-459D-9EB7-A4464D1ABEF7}"/>
    <cellStyle name="Normal 5 4 2 2 2 3" xfId="2186" xr:uid="{08B63FE5-6F5D-4586-8584-2BC5F6788C8B}"/>
    <cellStyle name="Normal 5 4 2 2 2 3 2" xfId="4415" xr:uid="{16654E13-3E12-4BB1-87CE-ED6D3BF1FFA5}"/>
    <cellStyle name="Normal 5 4 2 2 2 3 2 2" xfId="8633" xr:uid="{DE19040E-0CC7-4F07-A78A-F1ED1919D33C}"/>
    <cellStyle name="Normal 5 4 2 2 2 3 3" xfId="6488" xr:uid="{7708314E-2B2B-4DBA-B233-64C20749D388}"/>
    <cellStyle name="Normal 5 4 2 2 2 4" xfId="2599" xr:uid="{AFAE9654-ADFC-4681-9C0A-103FBE637B0D}"/>
    <cellStyle name="Normal 5 4 2 2 2 4 2" xfId="4828" xr:uid="{5C16B91F-E644-43E5-A7A6-C7A4C6B3E471}"/>
    <cellStyle name="Normal 5 4 2 2 2 4 2 2" xfId="9046" xr:uid="{C4DD486B-5971-433B-9764-697FD74406DB}"/>
    <cellStyle name="Normal 5 4 2 2 2 4 3" xfId="6901" xr:uid="{C5C58E76-EF66-4CBE-BFA9-9B56A96E7301}"/>
    <cellStyle name="Normal 5 4 2 2 2 5" xfId="3012" xr:uid="{8D7863A8-D89A-4107-A366-C36716374C3F}"/>
    <cellStyle name="Normal 5 4 2 2 2 5 2" xfId="5241" xr:uid="{D385BE24-0865-4BD5-9876-507FDD677BA6}"/>
    <cellStyle name="Normal 5 4 2 2 2 5 2 2" xfId="9459" xr:uid="{DDE40126-6612-49BD-BDFC-73ACAD114E47}"/>
    <cellStyle name="Normal 5 4 2 2 2 5 3" xfId="7314" xr:uid="{731505F5-CBE7-452D-83AB-E8E85D5A9FE4}"/>
    <cellStyle name="Normal 5 4 2 2 2 6" xfId="3448" xr:uid="{4F38AB0B-65D7-4112-B069-991D79E94976}"/>
    <cellStyle name="Normal 5 4 2 2 2 6 2" xfId="7727" xr:uid="{AEBBC276-9E36-4E8D-AFDC-C6B21C6A7508}"/>
    <cellStyle name="Normal 5 4 2 2 2 7" xfId="5662" xr:uid="{68E069BB-E725-4A45-A38E-DC1C3F17C11B}"/>
    <cellStyle name="Normal 5 4 2 2 2 8" xfId="1358" xr:uid="{A13E3CA5-367F-4815-90ED-EE54EAAE83D6}"/>
    <cellStyle name="Normal 5 4 2 2 3" xfId="940" xr:uid="{00000000-0005-0000-0000-00003A030000}"/>
    <cellStyle name="Normal 5 4 2 2 3 2" xfId="4001" xr:uid="{567C7BBD-1928-430B-9ACF-75EF9FC3EEEB}"/>
    <cellStyle name="Normal 5 4 2 2 3 2 2" xfId="8219" xr:uid="{DF62F4AA-DAA2-476B-A266-1488FA16368E}"/>
    <cellStyle name="Normal 5 4 2 2 3 3" xfId="6074" xr:uid="{F8080A35-A73C-4E84-BB56-57BFBF527B8B}"/>
    <cellStyle name="Normal 5 4 2 2 3 4" xfId="1772" xr:uid="{17FBC125-52F8-41B4-8824-29FEF1C84478}"/>
    <cellStyle name="Normal 5 4 2 2 4" xfId="2185" xr:uid="{61C2F6E5-1DFE-438F-8F1D-13AB62EBCFCB}"/>
    <cellStyle name="Normal 5 4 2 2 4 2" xfId="4414" xr:uid="{5DBCBCC7-E052-4E8C-B6E8-DEC895B8007B}"/>
    <cellStyle name="Normal 5 4 2 2 4 2 2" xfId="8632" xr:uid="{415F406E-14D6-4372-8C09-29271D08CFA0}"/>
    <cellStyle name="Normal 5 4 2 2 4 3" xfId="6487" xr:uid="{D1B197E0-A802-4BA1-BE40-7E2126937BC4}"/>
    <cellStyle name="Normal 5 4 2 2 5" xfId="2598" xr:uid="{E00ECC9A-C3EC-4024-99C3-A11D3A4E4F05}"/>
    <cellStyle name="Normal 5 4 2 2 5 2" xfId="4827" xr:uid="{7FBEADBD-79C2-4005-99EC-94B39BC25576}"/>
    <cellStyle name="Normal 5 4 2 2 5 2 2" xfId="9045" xr:uid="{369B2A1D-7EED-436B-B710-E7CB363984DD}"/>
    <cellStyle name="Normal 5 4 2 2 5 3" xfId="6900" xr:uid="{6A378479-F7D0-4D1C-814E-BC1C57762A4D}"/>
    <cellStyle name="Normal 5 4 2 2 6" xfId="3011" xr:uid="{6CE77252-F451-448C-8870-2A4C954E8A2A}"/>
    <cellStyle name="Normal 5 4 2 2 6 2" xfId="5240" xr:uid="{028F47AF-4E58-4442-BD29-6219F9ECD83F}"/>
    <cellStyle name="Normal 5 4 2 2 6 2 2" xfId="9458" xr:uid="{9762FC7B-4584-404B-B8CC-70CF133A2EAE}"/>
    <cellStyle name="Normal 5 4 2 2 6 3" xfId="7313" xr:uid="{00AD0BE0-92B6-4C9D-B514-C135BC4886D9}"/>
    <cellStyle name="Normal 5 4 2 2 7" xfId="3447" xr:uid="{A80060D0-0A8C-4DB2-808F-D3E36F8B7FDA}"/>
    <cellStyle name="Normal 5 4 2 2 7 2" xfId="7726" xr:uid="{D9304225-6393-4175-BEE6-26217D053256}"/>
    <cellStyle name="Normal 5 4 2 2 8" xfId="5661" xr:uid="{7E6CEAF1-E19B-466C-A3FA-C1B29E43ABDC}"/>
    <cellStyle name="Normal 5 4 2 2 9" xfId="1357" xr:uid="{95197ED7-90EB-4B45-8EC1-2491FDF05ABD}"/>
    <cellStyle name="Normal 5 4 2 3" xfId="463" xr:uid="{00000000-0005-0000-0000-00003B030000}"/>
    <cellStyle name="Normal 5 4 2 3 2" xfId="942" xr:uid="{00000000-0005-0000-0000-00003C030000}"/>
    <cellStyle name="Normal 5 4 2 3 2 2" xfId="4003" xr:uid="{1EDE7EE0-F634-4745-A191-61190EA07726}"/>
    <cellStyle name="Normal 5 4 2 3 2 2 2" xfId="8221" xr:uid="{77DD5C8B-901A-4AEF-891C-B9A2B2EE5395}"/>
    <cellStyle name="Normal 5 4 2 3 2 3" xfId="6076" xr:uid="{C13D48D5-EF9A-406C-82FF-0CBF4C5CFF68}"/>
    <cellStyle name="Normal 5 4 2 3 2 4" xfId="1774" xr:uid="{1F4A08B7-1B49-4304-88C8-301FA9BF6FEC}"/>
    <cellStyle name="Normal 5 4 2 3 3" xfId="2187" xr:uid="{85BFE88E-5603-49F3-A5FA-D5FA1BA0C842}"/>
    <cellStyle name="Normal 5 4 2 3 3 2" xfId="4416" xr:uid="{B3412E39-EEA4-492A-9CB4-9CE7A4B0B430}"/>
    <cellStyle name="Normal 5 4 2 3 3 2 2" xfId="8634" xr:uid="{70041EC6-0143-473C-AB58-9914E86CF9F6}"/>
    <cellStyle name="Normal 5 4 2 3 3 3" xfId="6489" xr:uid="{A0E61C83-37EC-48F6-9332-2B883CD71022}"/>
    <cellStyle name="Normal 5 4 2 3 4" xfId="2600" xr:uid="{A65508AC-C89F-444D-BFEA-4567159DF4B0}"/>
    <cellStyle name="Normal 5 4 2 3 4 2" xfId="4829" xr:uid="{B50D230F-E7A0-4CB8-9FC8-A7F32D79C79D}"/>
    <cellStyle name="Normal 5 4 2 3 4 2 2" xfId="9047" xr:uid="{E496761B-2D90-4414-9301-8A67DF0A0A14}"/>
    <cellStyle name="Normal 5 4 2 3 4 3" xfId="6902" xr:uid="{BD8EA9C9-7EED-4F97-ABDC-C604A77554B0}"/>
    <cellStyle name="Normal 5 4 2 3 5" xfId="3013" xr:uid="{F0D43179-B7D2-468F-A87A-D2823A7F3D84}"/>
    <cellStyle name="Normal 5 4 2 3 5 2" xfId="5242" xr:uid="{55F925CF-C54D-4061-A7DA-0F65AE0B0958}"/>
    <cellStyle name="Normal 5 4 2 3 5 2 2" xfId="9460" xr:uid="{CA8A06D1-3DEE-4C0C-AE14-21A5C7D2E88A}"/>
    <cellStyle name="Normal 5 4 2 3 5 3" xfId="7315" xr:uid="{26DCA5C4-7775-489E-8368-89F37DB3C283}"/>
    <cellStyle name="Normal 5 4 2 3 6" xfId="3449" xr:uid="{90A6FEBA-9149-4BE1-B86A-C8413AE6904B}"/>
    <cellStyle name="Normal 5 4 2 3 6 2" xfId="7728" xr:uid="{4925B677-374A-4CF4-84EB-9AC4C486090B}"/>
    <cellStyle name="Normal 5 4 2 3 7" xfId="5663" xr:uid="{46E9E2B7-FCFB-4B7C-BBB7-874883077634}"/>
    <cellStyle name="Normal 5 4 2 3 8" xfId="1359" xr:uid="{4A10C7A5-0A2E-49C8-85EF-6859E22B9128}"/>
    <cellStyle name="Normal 5 4 2 4" xfId="939" xr:uid="{00000000-0005-0000-0000-00003D030000}"/>
    <cellStyle name="Normal 5 4 2 4 2" xfId="4000" xr:uid="{0A9F3615-9DD6-4D2B-87BE-BD3261023180}"/>
    <cellStyle name="Normal 5 4 2 4 2 2" xfId="8218" xr:uid="{5DA08E8F-A7BA-4ED0-8B36-A3206B8940E2}"/>
    <cellStyle name="Normal 5 4 2 4 3" xfId="6073" xr:uid="{7F8506BD-B6AA-41D6-87CF-C321CD74EB63}"/>
    <cellStyle name="Normal 5 4 2 4 4" xfId="1771" xr:uid="{E6C2714D-FED9-4F14-9450-FAFAD724D30C}"/>
    <cellStyle name="Normal 5 4 2 5" xfId="2184" xr:uid="{6EB928F0-422F-4F29-B88A-7B20A7CD2679}"/>
    <cellStyle name="Normal 5 4 2 5 2" xfId="4413" xr:uid="{A2A3A8F7-23DB-42C3-A950-D6EBFA5B17A3}"/>
    <cellStyle name="Normal 5 4 2 5 2 2" xfId="8631" xr:uid="{3FE442FA-624E-4BD7-BEFB-621A32ADA953}"/>
    <cellStyle name="Normal 5 4 2 5 3" xfId="6486" xr:uid="{C2FA2B0B-283D-40C2-8083-7BD193342F93}"/>
    <cellStyle name="Normal 5 4 2 6" xfId="2597" xr:uid="{F814E710-9821-4B7F-81C3-D8945B4AA772}"/>
    <cellStyle name="Normal 5 4 2 6 2" xfId="4826" xr:uid="{5D500F11-53F4-4069-AA08-2902E76C88E5}"/>
    <cellStyle name="Normal 5 4 2 6 2 2" xfId="9044" xr:uid="{AAC47506-34DB-4677-B67F-890A3244D524}"/>
    <cellStyle name="Normal 5 4 2 6 3" xfId="6899" xr:uid="{BA26D263-9D97-46C3-82F7-77D1D848D3AA}"/>
    <cellStyle name="Normal 5 4 2 7" xfId="3010" xr:uid="{7A027115-A552-495D-A410-9510E268F85B}"/>
    <cellStyle name="Normal 5 4 2 7 2" xfId="5239" xr:uid="{0E5DE538-9E7E-4E48-A315-54EE923D57EA}"/>
    <cellStyle name="Normal 5 4 2 7 2 2" xfId="9457" xr:uid="{20C7F9AA-8A0C-4176-9786-D71FB45D3907}"/>
    <cellStyle name="Normal 5 4 2 7 3" xfId="7312" xr:uid="{F6532391-7208-4B8E-8FA0-9961980DD470}"/>
    <cellStyle name="Normal 5 4 2 8" xfId="3446" xr:uid="{A304AD7B-D282-4144-8ABE-9EA6759C9559}"/>
    <cellStyle name="Normal 5 4 2 8 2" xfId="7725" xr:uid="{2B1D13F9-DD58-40FE-AD8E-39E05DE4A107}"/>
    <cellStyle name="Normal 5 4 2 9" xfId="5660" xr:uid="{090B3D4D-47FD-4263-BB73-390F2BD80733}"/>
    <cellStyle name="Normal 5 4 3" xfId="464" xr:uid="{00000000-0005-0000-0000-00003E030000}"/>
    <cellStyle name="Normal 5 4 3 2" xfId="465" xr:uid="{00000000-0005-0000-0000-00003F030000}"/>
    <cellStyle name="Normal 5 4 3 2 2" xfId="944" xr:uid="{00000000-0005-0000-0000-000040030000}"/>
    <cellStyle name="Normal 5 4 3 2 2 2" xfId="4005" xr:uid="{5106A261-32ED-41EE-A499-CF4D89416440}"/>
    <cellStyle name="Normal 5 4 3 2 2 2 2" xfId="8223" xr:uid="{DA38935D-09ED-4A6B-BF00-00C6A68BDFF3}"/>
    <cellStyle name="Normal 5 4 3 2 2 3" xfId="6078" xr:uid="{98D37A06-E97E-490B-A992-2F2139E937AA}"/>
    <cellStyle name="Normal 5 4 3 2 2 4" xfId="1776" xr:uid="{BEB41BC2-1E6A-4F50-A917-D0B9028810C9}"/>
    <cellStyle name="Normal 5 4 3 2 3" xfId="2189" xr:uid="{8590B4AB-F367-4004-A6E7-CE93CEF1EB8E}"/>
    <cellStyle name="Normal 5 4 3 2 3 2" xfId="4418" xr:uid="{BBED7034-CD46-48F8-BA73-BC4ADDA424A3}"/>
    <cellStyle name="Normal 5 4 3 2 3 2 2" xfId="8636" xr:uid="{48FA4498-864B-49B5-95E6-1681F92F110C}"/>
    <cellStyle name="Normal 5 4 3 2 3 3" xfId="6491" xr:uid="{CB1A1CCA-55B8-431A-8403-E6F484F64F7A}"/>
    <cellStyle name="Normal 5 4 3 2 4" xfId="2602" xr:uid="{4E10396D-418E-470E-9122-D542A980426D}"/>
    <cellStyle name="Normal 5 4 3 2 4 2" xfId="4831" xr:uid="{DB7E744D-E75D-4589-BB4B-3D94F784EC08}"/>
    <cellStyle name="Normal 5 4 3 2 4 2 2" xfId="9049" xr:uid="{3D90A4C5-53AB-4CD6-A646-3059109EEA05}"/>
    <cellStyle name="Normal 5 4 3 2 4 3" xfId="6904" xr:uid="{A8F43047-4EBB-49B4-8E57-4F135BEF2049}"/>
    <cellStyle name="Normal 5 4 3 2 5" xfId="3015" xr:uid="{723691DE-8FA5-4DFD-A339-EA788906CA8B}"/>
    <cellStyle name="Normal 5 4 3 2 5 2" xfId="5244" xr:uid="{5F754E0A-B69F-4391-A92E-441FC622BE03}"/>
    <cellStyle name="Normal 5 4 3 2 5 2 2" xfId="9462" xr:uid="{AF628CEC-48BA-46A8-A0B8-6B9C1558482A}"/>
    <cellStyle name="Normal 5 4 3 2 5 3" xfId="7317" xr:uid="{AAF25B0B-BCAD-42E9-83A5-D5264B2561F6}"/>
    <cellStyle name="Normal 5 4 3 2 6" xfId="3451" xr:uid="{A49F47B4-35E0-48B4-B0F8-C10E41A6DA48}"/>
    <cellStyle name="Normal 5 4 3 2 6 2" xfId="7730" xr:uid="{F67110FD-94B9-4523-ABD5-41E1F533A646}"/>
    <cellStyle name="Normal 5 4 3 2 7" xfId="5665" xr:uid="{238346BC-96DD-400B-99E0-51DB9116921E}"/>
    <cellStyle name="Normal 5 4 3 2 8" xfId="1361" xr:uid="{1F7D230B-306E-4EBE-AD38-6C9721B93B54}"/>
    <cellStyle name="Normal 5 4 3 3" xfId="943" xr:uid="{00000000-0005-0000-0000-000041030000}"/>
    <cellStyle name="Normal 5 4 3 3 2" xfId="4004" xr:uid="{2BD4B159-4206-4D85-9BF9-B7E78940FE38}"/>
    <cellStyle name="Normal 5 4 3 3 2 2" xfId="8222" xr:uid="{846185E9-A82D-4AA0-B9CA-F865A901AD38}"/>
    <cellStyle name="Normal 5 4 3 3 3" xfId="6077" xr:uid="{E51CE9F8-600F-45A1-A37A-F4FECB5CA3A3}"/>
    <cellStyle name="Normal 5 4 3 3 4" xfId="1775" xr:uid="{221B5C69-6FFB-4F50-85E5-E3276EB52593}"/>
    <cellStyle name="Normal 5 4 3 4" xfId="2188" xr:uid="{C74F2F0D-6E37-41B7-BAE2-45D02FE26716}"/>
    <cellStyle name="Normal 5 4 3 4 2" xfId="4417" xr:uid="{C605667F-023C-41B8-90C7-104F8119F7A4}"/>
    <cellStyle name="Normal 5 4 3 4 2 2" xfId="8635" xr:uid="{50418040-90BF-4B2D-9311-78665E4FE128}"/>
    <cellStyle name="Normal 5 4 3 4 3" xfId="6490" xr:uid="{2E1B274B-8FAE-44EA-9AF5-2022EFBBDBD8}"/>
    <cellStyle name="Normal 5 4 3 5" xfId="2601" xr:uid="{8BA3AEE1-92BE-4EA4-BC7A-32738A558EB8}"/>
    <cellStyle name="Normal 5 4 3 5 2" xfId="4830" xr:uid="{2F44928F-DADA-4306-808E-457F443D369D}"/>
    <cellStyle name="Normal 5 4 3 5 2 2" xfId="9048" xr:uid="{F386B226-C5CB-43E2-B27D-88F68F14CCEA}"/>
    <cellStyle name="Normal 5 4 3 5 3" xfId="6903" xr:uid="{43D22938-1D33-45FC-B304-1C85B3175910}"/>
    <cellStyle name="Normal 5 4 3 6" xfId="3014" xr:uid="{30F9155A-D7B5-4A72-A631-C7C6942F4B8D}"/>
    <cellStyle name="Normal 5 4 3 6 2" xfId="5243" xr:uid="{A9653D2E-66E2-4EB8-AB6E-A3E2201D0368}"/>
    <cellStyle name="Normal 5 4 3 6 2 2" xfId="9461" xr:uid="{EBE4A907-D2D8-4A5D-AACF-1916D34B32CA}"/>
    <cellStyle name="Normal 5 4 3 6 3" xfId="7316" xr:uid="{A0AA5C52-416E-44B8-B38D-21DA029242CF}"/>
    <cellStyle name="Normal 5 4 3 7" xfId="3450" xr:uid="{A74F055E-6EC0-48FF-B88B-1EA8FB319BC3}"/>
    <cellStyle name="Normal 5 4 3 7 2" xfId="7729" xr:uid="{FFDC1005-BA8B-4582-B191-5A0ABA7FB804}"/>
    <cellStyle name="Normal 5 4 3 8" xfId="5664" xr:uid="{109E7070-8835-417E-A7A8-242CBCE1F33F}"/>
    <cellStyle name="Normal 5 4 3 9" xfId="1360" xr:uid="{FD2FEDD2-1BC1-4248-9938-EB842E2715EC}"/>
    <cellStyle name="Normal 5 4 4" xfId="466" xr:uid="{00000000-0005-0000-0000-000042030000}"/>
    <cellStyle name="Normal 5 4 4 2" xfId="945" xr:uid="{00000000-0005-0000-0000-000043030000}"/>
    <cellStyle name="Normal 5 4 4 2 2" xfId="4006" xr:uid="{B516FECD-A47E-4D64-8D13-30AC8F15B9FE}"/>
    <cellStyle name="Normal 5 4 4 2 2 2" xfId="8224" xr:uid="{321D0873-9A6C-4BF9-AEF0-6F0A6EC262A3}"/>
    <cellStyle name="Normal 5 4 4 2 3" xfId="6079" xr:uid="{984B3DA5-226D-4DC5-9262-FF15A8BE7D5E}"/>
    <cellStyle name="Normal 5 4 4 2 4" xfId="1777" xr:uid="{58C3CD6D-E34D-4C68-9DBF-B8F2174C0C6C}"/>
    <cellStyle name="Normal 5 4 4 3" xfId="2190" xr:uid="{82B2A98D-33EE-4A8E-BA66-5C7D8A9091A6}"/>
    <cellStyle name="Normal 5 4 4 3 2" xfId="4419" xr:uid="{90F921CB-5733-4833-85F7-7EFCD4A8449C}"/>
    <cellStyle name="Normal 5 4 4 3 2 2" xfId="8637" xr:uid="{B6501821-2754-4F7E-A497-567241C48641}"/>
    <cellStyle name="Normal 5 4 4 3 3" xfId="6492" xr:uid="{75A6B0DC-10D7-4A4F-97CC-8A05BF9325D9}"/>
    <cellStyle name="Normal 5 4 4 4" xfId="2603" xr:uid="{F7A22A30-A4F2-46B4-BDA4-309216C938E3}"/>
    <cellStyle name="Normal 5 4 4 4 2" xfId="4832" xr:uid="{62324A5F-27A9-4752-8495-82BD7761A5C8}"/>
    <cellStyle name="Normal 5 4 4 4 2 2" xfId="9050" xr:uid="{4A122C14-2060-4D35-BB50-D5DAF57A30CB}"/>
    <cellStyle name="Normal 5 4 4 4 3" xfId="6905" xr:uid="{D1980172-51AC-4D76-B654-EB8A1D0E0540}"/>
    <cellStyle name="Normal 5 4 4 5" xfId="3016" xr:uid="{5416D846-855A-4290-A177-1FA511FB7F02}"/>
    <cellStyle name="Normal 5 4 4 5 2" xfId="5245" xr:uid="{40C8D3D1-96A3-4135-9D67-0A5A48876D9A}"/>
    <cellStyle name="Normal 5 4 4 5 2 2" xfId="9463" xr:uid="{704B07E0-A3B6-4DCC-AA74-0099CC3DCA86}"/>
    <cellStyle name="Normal 5 4 4 5 3" xfId="7318" xr:uid="{E4B4145A-3409-4954-8E18-AE8DB9E17985}"/>
    <cellStyle name="Normal 5 4 4 6" xfId="3452" xr:uid="{726561B2-B347-49E2-8495-3AB454D11E53}"/>
    <cellStyle name="Normal 5 4 4 6 2" xfId="7731" xr:uid="{6106B8BD-20FE-4495-82B2-F52C2544A097}"/>
    <cellStyle name="Normal 5 4 4 7" xfId="5666" xr:uid="{CD139F3D-31C2-4E3C-B4CA-D405E4FA968B}"/>
    <cellStyle name="Normal 5 4 4 8" xfId="1362" xr:uid="{EE69008F-BC9A-485B-9C0A-92576094FD36}"/>
    <cellStyle name="Normal 5 4 5" xfId="938" xr:uid="{00000000-0005-0000-0000-000044030000}"/>
    <cellStyle name="Normal 5 4 5 2" xfId="3999" xr:uid="{81103447-06D5-4F10-BB52-410A7F6D27FE}"/>
    <cellStyle name="Normal 5 4 5 2 2" xfId="8217" xr:uid="{F71AAD6D-81F7-4BBD-A31A-E22904F47792}"/>
    <cellStyle name="Normal 5 4 5 3" xfId="6072" xr:uid="{7130CA0F-3B71-4EC2-A5F3-E282EC4A9EFF}"/>
    <cellStyle name="Normal 5 4 5 4" xfId="1770" xr:uid="{E97BA78C-FAAD-43B8-87B3-DCE44F7BA994}"/>
    <cellStyle name="Normal 5 4 6" xfId="2183" xr:uid="{71F31CC3-6C90-40F5-81E1-FAAD4C7F02CD}"/>
    <cellStyle name="Normal 5 4 6 2" xfId="4412" xr:uid="{1E054E41-9FF5-4206-878C-5BFB6D05E391}"/>
    <cellStyle name="Normal 5 4 6 2 2" xfId="8630" xr:uid="{10F6B509-4864-4DDA-BD09-C6CE7F227FEE}"/>
    <cellStyle name="Normal 5 4 6 3" xfId="6485" xr:uid="{124F2B5C-8F37-436D-8B62-B4321A7CF4B6}"/>
    <cellStyle name="Normal 5 4 7" xfId="2596" xr:uid="{B34D53BC-E15E-4B94-A93B-8BB6410871A1}"/>
    <cellStyle name="Normal 5 4 7 2" xfId="4825" xr:uid="{8AA5C33B-0BC0-43AB-9684-70D8018D0E79}"/>
    <cellStyle name="Normal 5 4 7 2 2" xfId="9043" xr:uid="{1B96971B-14FA-48F7-8E62-39DCE30468E0}"/>
    <cellStyle name="Normal 5 4 7 3" xfId="6898" xr:uid="{831E0E9C-86D8-4D1E-AD79-2B923BC1D751}"/>
    <cellStyle name="Normal 5 4 8" xfId="3009" xr:uid="{FFBA7AD1-1E90-4BD7-A62F-B6120ED74188}"/>
    <cellStyle name="Normal 5 4 8 2" xfId="5238" xr:uid="{2E6290D8-49F7-4595-8F43-186E137C8F84}"/>
    <cellStyle name="Normal 5 4 8 2 2" xfId="9456" xr:uid="{BE41B49D-7DDA-4FD4-B15A-83E77E905CB1}"/>
    <cellStyle name="Normal 5 4 8 3" xfId="7311" xr:uid="{1C8FFA14-FE2E-4328-9C50-94CB40DFACC7}"/>
    <cellStyle name="Normal 5 4 9" xfId="3445" xr:uid="{D75A8FEE-BA3D-4EF7-8F17-C436C13D2DDB}"/>
    <cellStyle name="Normal 5 4 9 2" xfId="7724" xr:uid="{58C808AE-E52B-4D60-BAC0-E13253CB0573}"/>
    <cellStyle name="Normal 5 5" xfId="467" xr:uid="{00000000-0005-0000-0000-000045030000}"/>
    <cellStyle name="Normal 5 5 10" xfId="1363" xr:uid="{C8BF1615-BAB3-4ED2-9542-A2A4063C38A9}"/>
    <cellStyle name="Normal 5 5 2" xfId="468" xr:uid="{00000000-0005-0000-0000-000046030000}"/>
    <cellStyle name="Normal 5 5 2 2" xfId="469" xr:uid="{00000000-0005-0000-0000-000047030000}"/>
    <cellStyle name="Normal 5 5 2 2 2" xfId="948" xr:uid="{00000000-0005-0000-0000-000048030000}"/>
    <cellStyle name="Normal 5 5 2 2 2 2" xfId="4009" xr:uid="{6F86D4D4-C51A-4D03-A2DD-B8132629C81F}"/>
    <cellStyle name="Normal 5 5 2 2 2 2 2" xfId="8227" xr:uid="{14687604-FFD5-4DD2-A721-7D0444765784}"/>
    <cellStyle name="Normal 5 5 2 2 2 3" xfId="6082" xr:uid="{5E37D984-E3C0-4B00-BD08-7F699D5955C1}"/>
    <cellStyle name="Normal 5 5 2 2 2 4" xfId="1780" xr:uid="{CA86C083-28DA-46C3-B2C2-1575DAAB7BF2}"/>
    <cellStyle name="Normal 5 5 2 2 3" xfId="2193" xr:uid="{C29E4434-5E43-40DE-BE2D-96DD325F3F8B}"/>
    <cellStyle name="Normal 5 5 2 2 3 2" xfId="4422" xr:uid="{AF4DB951-FFBA-4BEC-ABDC-B86FFBBB40A0}"/>
    <cellStyle name="Normal 5 5 2 2 3 2 2" xfId="8640" xr:uid="{3DCEF6EE-1BF0-4AC5-8777-69F4CBA1CE40}"/>
    <cellStyle name="Normal 5 5 2 2 3 3" xfId="6495" xr:uid="{ACC2DAF7-388F-4B87-A2ED-4F3406A16F56}"/>
    <cellStyle name="Normal 5 5 2 2 4" xfId="2606" xr:uid="{BBFEACC1-7425-426D-B2BD-BE16949C80D1}"/>
    <cellStyle name="Normal 5 5 2 2 4 2" xfId="4835" xr:uid="{4F19A13F-3FD6-43C5-8A5F-A7D58397558D}"/>
    <cellStyle name="Normal 5 5 2 2 4 2 2" xfId="9053" xr:uid="{1DB19A72-635B-4607-861B-6AF956FC5421}"/>
    <cellStyle name="Normal 5 5 2 2 4 3" xfId="6908" xr:uid="{C9B710A9-9079-456C-A632-8859A7EEBEF6}"/>
    <cellStyle name="Normal 5 5 2 2 5" xfId="3019" xr:uid="{29681042-F66A-462D-9745-D610C8F928B4}"/>
    <cellStyle name="Normal 5 5 2 2 5 2" xfId="5248" xr:uid="{22E2AA2F-6363-47DB-8FC7-7E43FA1E8E9E}"/>
    <cellStyle name="Normal 5 5 2 2 5 2 2" xfId="9466" xr:uid="{78E3857F-5166-4710-8907-CCB2E01CB05F}"/>
    <cellStyle name="Normal 5 5 2 2 5 3" xfId="7321" xr:uid="{501DEA0E-AA79-4E4B-BB71-D7C4EC5CC7DB}"/>
    <cellStyle name="Normal 5 5 2 2 6" xfId="3455" xr:uid="{84868E01-0A89-4F7A-949C-4E9F15A85E5D}"/>
    <cellStyle name="Normal 5 5 2 2 6 2" xfId="7734" xr:uid="{11B712BC-1730-4745-8345-12496E37096F}"/>
    <cellStyle name="Normal 5 5 2 2 7" xfId="5669" xr:uid="{697BC832-74BF-4001-977B-1D537FF042FB}"/>
    <cellStyle name="Normal 5 5 2 2 8" xfId="1365" xr:uid="{50D14BFE-78AC-4FB4-BC89-B89F95593071}"/>
    <cellStyle name="Normal 5 5 2 3" xfId="947" xr:uid="{00000000-0005-0000-0000-000049030000}"/>
    <cellStyle name="Normal 5 5 2 3 2" xfId="4008" xr:uid="{3975A551-90FA-4EF7-8F6D-3A3E3B76AE57}"/>
    <cellStyle name="Normal 5 5 2 3 2 2" xfId="8226" xr:uid="{6E7982B2-683A-4DA7-9357-C3B8247B9E1E}"/>
    <cellStyle name="Normal 5 5 2 3 3" xfId="6081" xr:uid="{E6C2708C-3BC2-4A48-937E-DDF3915835AE}"/>
    <cellStyle name="Normal 5 5 2 3 4" xfId="1779" xr:uid="{2893E5F2-B69F-4CDF-A9E6-D0BAC4EB5044}"/>
    <cellStyle name="Normal 5 5 2 4" xfId="2192" xr:uid="{E16CAFC6-ABDE-42B7-A4A7-FC8A82F756FA}"/>
    <cellStyle name="Normal 5 5 2 4 2" xfId="4421" xr:uid="{107A440F-4959-40FA-B372-64B2B1415B0B}"/>
    <cellStyle name="Normal 5 5 2 4 2 2" xfId="8639" xr:uid="{D3499534-FE13-4C9F-820F-2FA02E22A7DB}"/>
    <cellStyle name="Normal 5 5 2 4 3" xfId="6494" xr:uid="{88AB8826-B7FA-4D1E-B313-932A1A5301A2}"/>
    <cellStyle name="Normal 5 5 2 5" xfId="2605" xr:uid="{F8B03497-7553-497E-8CC5-8B8D1EDA9406}"/>
    <cellStyle name="Normal 5 5 2 5 2" xfId="4834" xr:uid="{11D3AD4F-00F7-4342-BBA6-E8183A8C0DA7}"/>
    <cellStyle name="Normal 5 5 2 5 2 2" xfId="9052" xr:uid="{40AF1054-DEF8-4290-BAA9-9D5FE63783F3}"/>
    <cellStyle name="Normal 5 5 2 5 3" xfId="6907" xr:uid="{A8D15454-1CDA-4C6D-A7E6-9839DE3E9B2A}"/>
    <cellStyle name="Normal 5 5 2 6" xfId="3018" xr:uid="{19DBEF22-85F7-4E36-BDEC-2BC8394E32E0}"/>
    <cellStyle name="Normal 5 5 2 6 2" xfId="5247" xr:uid="{6B047257-4AF5-40FB-ACBD-8C795418D6B8}"/>
    <cellStyle name="Normal 5 5 2 6 2 2" xfId="9465" xr:uid="{CD5C42C1-CA69-4F35-B7C0-671D6875429E}"/>
    <cellStyle name="Normal 5 5 2 6 3" xfId="7320" xr:uid="{3AE092CD-CE21-4AC5-A1C6-3F4984E7B027}"/>
    <cellStyle name="Normal 5 5 2 7" xfId="3454" xr:uid="{3B59D97E-857A-4FBC-AE7C-3B6351C99403}"/>
    <cellStyle name="Normal 5 5 2 7 2" xfId="7733" xr:uid="{63301981-FD0D-4EAD-BBFB-CD3B1965A558}"/>
    <cellStyle name="Normal 5 5 2 8" xfId="5668" xr:uid="{06FF14F2-13F9-4D1F-B6A7-7C15F7AD8641}"/>
    <cellStyle name="Normal 5 5 2 9" xfId="1364" xr:uid="{A1010652-ED95-4C6C-8361-171DB5283C8E}"/>
    <cellStyle name="Normal 5 5 3" xfId="470" xr:uid="{00000000-0005-0000-0000-00004A030000}"/>
    <cellStyle name="Normal 5 5 3 2" xfId="949" xr:uid="{00000000-0005-0000-0000-00004B030000}"/>
    <cellStyle name="Normal 5 5 3 2 2" xfId="4010" xr:uid="{399A76AF-7377-4BE9-84D8-C44579F46F07}"/>
    <cellStyle name="Normal 5 5 3 2 2 2" xfId="8228" xr:uid="{039AD591-175A-47B7-AB64-3B7186C82D1D}"/>
    <cellStyle name="Normal 5 5 3 2 3" xfId="6083" xr:uid="{A0DC9A5F-FE36-4B2D-8808-0585C821C65F}"/>
    <cellStyle name="Normal 5 5 3 2 4" xfId="1781" xr:uid="{5C2F0D9D-3D12-489C-886E-3E2641DBA1CE}"/>
    <cellStyle name="Normal 5 5 3 3" xfId="2194" xr:uid="{37AC22C2-23B4-460E-83D5-35D257C0488A}"/>
    <cellStyle name="Normal 5 5 3 3 2" xfId="4423" xr:uid="{D4C1D7EC-6D02-4DDA-BB2E-C82FFA7C3948}"/>
    <cellStyle name="Normal 5 5 3 3 2 2" xfId="8641" xr:uid="{4C40D776-80A2-40D3-A212-EB6EEA218E2B}"/>
    <cellStyle name="Normal 5 5 3 3 3" xfId="6496" xr:uid="{E450E7AE-AF11-42A7-A1BB-C9A15218EA71}"/>
    <cellStyle name="Normal 5 5 3 4" xfId="2607" xr:uid="{B9561132-198E-468B-9361-07ECC6992F2A}"/>
    <cellStyle name="Normal 5 5 3 4 2" xfId="4836" xr:uid="{F2F4E0A4-4C75-46B8-904F-1EFB09A62C93}"/>
    <cellStyle name="Normal 5 5 3 4 2 2" xfId="9054" xr:uid="{54018F6B-238F-4C76-8E69-5F6988BA1889}"/>
    <cellStyle name="Normal 5 5 3 4 3" xfId="6909" xr:uid="{C7BA409A-1EEC-4F6D-B053-ACCF4F340201}"/>
    <cellStyle name="Normal 5 5 3 5" xfId="3020" xr:uid="{3543EAF1-E363-4B1E-B7E0-BFBD33E02A2C}"/>
    <cellStyle name="Normal 5 5 3 5 2" xfId="5249" xr:uid="{A4CA80D9-3E5E-434E-AD7F-620EE9F75BD8}"/>
    <cellStyle name="Normal 5 5 3 5 2 2" xfId="9467" xr:uid="{99147F63-0D3A-43B3-B75B-4666BAC5B713}"/>
    <cellStyle name="Normal 5 5 3 5 3" xfId="7322" xr:uid="{90B53F80-FE49-4306-AC9C-25B1C6A049CA}"/>
    <cellStyle name="Normal 5 5 3 6" xfId="3456" xr:uid="{B5186B70-EE99-4C55-BFF8-9129076ED831}"/>
    <cellStyle name="Normal 5 5 3 6 2" xfId="7735" xr:uid="{E949E88D-0E89-4129-8FA5-4A804AB44FE1}"/>
    <cellStyle name="Normal 5 5 3 7" xfId="5670" xr:uid="{7CFB54D4-CA9D-42A3-A51E-8EC4C6415F97}"/>
    <cellStyle name="Normal 5 5 3 8" xfId="1366" xr:uid="{D65DE9C9-9F52-49FE-A465-EC0542F3DD50}"/>
    <cellStyle name="Normal 5 5 4" xfId="946" xr:uid="{00000000-0005-0000-0000-00004C030000}"/>
    <cellStyle name="Normal 5 5 4 2" xfId="4007" xr:uid="{A08B3B97-CAD2-42C2-8F3A-B4FBC4475F51}"/>
    <cellStyle name="Normal 5 5 4 2 2" xfId="8225" xr:uid="{0E74DAB9-FAF2-4D38-AC68-654FF4640BAC}"/>
    <cellStyle name="Normal 5 5 4 3" xfId="6080" xr:uid="{8A2741C6-A826-4095-B897-F7B7711B421D}"/>
    <cellStyle name="Normal 5 5 4 4" xfId="1778" xr:uid="{8891A32E-1D74-4D6E-94DF-9EF0D24C1C81}"/>
    <cellStyle name="Normal 5 5 5" xfId="2191" xr:uid="{2ACDBA58-1729-437C-B9FB-97DB71D128A6}"/>
    <cellStyle name="Normal 5 5 5 2" xfId="4420" xr:uid="{AA52D5B8-4ABE-4BDF-91E8-570B4CD3E043}"/>
    <cellStyle name="Normal 5 5 5 2 2" xfId="8638" xr:uid="{CCA791D8-6997-4D0E-B5B9-EF64A9833B21}"/>
    <cellStyle name="Normal 5 5 5 3" xfId="6493" xr:uid="{202D13F0-6620-4951-9524-2844AD83742E}"/>
    <cellStyle name="Normal 5 5 6" xfId="2604" xr:uid="{715812F3-20E5-4BA8-8ACF-72BE29E8FFC6}"/>
    <cellStyle name="Normal 5 5 6 2" xfId="4833" xr:uid="{AD45D8FF-A7FD-4E6D-9659-9EC775768EDB}"/>
    <cellStyle name="Normal 5 5 6 2 2" xfId="9051" xr:uid="{141B246F-F84E-4F81-B33E-C63F055680CD}"/>
    <cellStyle name="Normal 5 5 6 3" xfId="6906" xr:uid="{10928702-2074-4454-AC35-500F7126DAFC}"/>
    <cellStyle name="Normal 5 5 7" xfId="3017" xr:uid="{91ED46C1-94FC-4C08-8906-D73D804EDCA7}"/>
    <cellStyle name="Normal 5 5 7 2" xfId="5246" xr:uid="{81D5E4B0-5011-4839-A3B4-4D9D6B9A012F}"/>
    <cellStyle name="Normal 5 5 7 2 2" xfId="9464" xr:uid="{FF8F2A56-0FB6-480E-AB81-E5F6582E96C5}"/>
    <cellStyle name="Normal 5 5 7 3" xfId="7319" xr:uid="{E27C8437-40FD-43AB-A7FF-41C1797CA7F7}"/>
    <cellStyle name="Normal 5 5 8" xfId="3453" xr:uid="{E7F10855-27B1-4572-8C74-7FF255A56D49}"/>
    <cellStyle name="Normal 5 5 8 2" xfId="7732" xr:uid="{4A9F894A-C95E-4079-B4A2-A35B22F7A9EA}"/>
    <cellStyle name="Normal 5 5 9" xfId="5667" xr:uid="{0EF15A17-69F5-46FD-9934-FA368247377D}"/>
    <cellStyle name="Normal 5 6" xfId="471" xr:uid="{00000000-0005-0000-0000-00004D030000}"/>
    <cellStyle name="Normal 5 6 2" xfId="472" xr:uid="{00000000-0005-0000-0000-00004E030000}"/>
    <cellStyle name="Normal 5 6 2 2" xfId="951" xr:uid="{00000000-0005-0000-0000-00004F030000}"/>
    <cellStyle name="Normal 5 6 2 2 2" xfId="4012" xr:uid="{D6DADB92-7951-4680-BB5B-826C7F6E7D33}"/>
    <cellStyle name="Normal 5 6 2 2 2 2" xfId="8230" xr:uid="{DBC0CB4D-9B0F-4CBB-A32F-B9A180359664}"/>
    <cellStyle name="Normal 5 6 2 2 3" xfId="6085" xr:uid="{2C5C5AE1-1BBA-40F3-8959-F0E786DBC1ED}"/>
    <cellStyle name="Normal 5 6 2 2 4" xfId="1783" xr:uid="{F1796F78-6096-46A3-BF1A-3CE945FD1C09}"/>
    <cellStyle name="Normal 5 6 2 3" xfId="2196" xr:uid="{20B6CD2B-E9AA-486F-BA91-93D72CD407F7}"/>
    <cellStyle name="Normal 5 6 2 3 2" xfId="4425" xr:uid="{2CE992D5-09BD-4A7F-8C14-928EDEEFE600}"/>
    <cellStyle name="Normal 5 6 2 3 2 2" xfId="8643" xr:uid="{D98AE2A4-AD6D-442D-8D74-47748B3DF74E}"/>
    <cellStyle name="Normal 5 6 2 3 3" xfId="6498" xr:uid="{AE9A990C-8DF5-42E9-AA79-32F54BD43E62}"/>
    <cellStyle name="Normal 5 6 2 4" xfId="2609" xr:uid="{8E4797A6-B190-4F18-8EC2-2EF1FDA5122D}"/>
    <cellStyle name="Normal 5 6 2 4 2" xfId="4838" xr:uid="{03DCFB29-0DF1-4E71-BD01-820F9EEA37E6}"/>
    <cellStyle name="Normal 5 6 2 4 2 2" xfId="9056" xr:uid="{223032D3-A115-488A-B4CF-04E2730F9DA7}"/>
    <cellStyle name="Normal 5 6 2 4 3" xfId="6911" xr:uid="{551D5F7E-DB1F-4732-A10E-7B4DD8C25A06}"/>
    <cellStyle name="Normal 5 6 2 5" xfId="3022" xr:uid="{F6A12E32-FAE2-4559-980A-C65384252510}"/>
    <cellStyle name="Normal 5 6 2 5 2" xfId="5251" xr:uid="{30DF28FC-214B-4BDE-928F-648B17B7FA10}"/>
    <cellStyle name="Normal 5 6 2 5 2 2" xfId="9469" xr:uid="{3EBEE8B1-ED88-4BE3-8CC0-0FDA146D5540}"/>
    <cellStyle name="Normal 5 6 2 5 3" xfId="7324" xr:uid="{39838442-F323-4723-9FAD-20E134F81820}"/>
    <cellStyle name="Normal 5 6 2 6" xfId="3458" xr:uid="{88A9AE6B-2FBB-4E48-BC81-BE0CC76D5D75}"/>
    <cellStyle name="Normal 5 6 2 6 2" xfId="7737" xr:uid="{284D6F99-8C15-4B5C-B240-863AEFB08A43}"/>
    <cellStyle name="Normal 5 6 2 7" xfId="5672" xr:uid="{9015C8EF-B7BE-4469-9185-39AAA1C76EAE}"/>
    <cellStyle name="Normal 5 6 2 8" xfId="1368" xr:uid="{07AB3690-92DC-4826-9038-F8689EC79181}"/>
    <cellStyle name="Normal 5 6 3" xfId="950" xr:uid="{00000000-0005-0000-0000-000050030000}"/>
    <cellStyle name="Normal 5 6 3 2" xfId="4011" xr:uid="{F6F59B0D-FE1F-4B1C-B327-8F1142B12127}"/>
    <cellStyle name="Normal 5 6 3 2 2" xfId="8229" xr:uid="{076085AA-7035-4A68-BBFF-3B7C33518553}"/>
    <cellStyle name="Normal 5 6 3 3" xfId="6084" xr:uid="{EA0CD2D9-50EA-45DF-A5B6-B53141E6B4DB}"/>
    <cellStyle name="Normal 5 6 3 4" xfId="1782" xr:uid="{FB63923B-FF21-446C-B0EB-7F9214DEDF6D}"/>
    <cellStyle name="Normal 5 6 4" xfId="2195" xr:uid="{8CE8401C-5F8D-4C32-8CA0-64B45C0A45F7}"/>
    <cellStyle name="Normal 5 6 4 2" xfId="4424" xr:uid="{45D1DAA0-5076-410E-BCF6-E78C8B14D69A}"/>
    <cellStyle name="Normal 5 6 4 2 2" xfId="8642" xr:uid="{EF9DC866-BFCF-4D28-8154-24EC88CA74FD}"/>
    <cellStyle name="Normal 5 6 4 3" xfId="6497" xr:uid="{7C10A76C-839B-4CB2-A58E-3BA83AC5FF8B}"/>
    <cellStyle name="Normal 5 6 5" xfId="2608" xr:uid="{157165E4-7897-409D-8B88-043E4BE06F6E}"/>
    <cellStyle name="Normal 5 6 5 2" xfId="4837" xr:uid="{2E5AAF5D-E12D-4280-B240-0C9523E48488}"/>
    <cellStyle name="Normal 5 6 5 2 2" xfId="9055" xr:uid="{75112A74-AB62-421C-9F61-523E7B70CC32}"/>
    <cellStyle name="Normal 5 6 5 3" xfId="6910" xr:uid="{3A360200-1E6C-47EB-86DB-55A32B81AC49}"/>
    <cellStyle name="Normal 5 6 6" xfId="3021" xr:uid="{5AE635C1-D62B-440E-A992-8101FDE0E6CD}"/>
    <cellStyle name="Normal 5 6 6 2" xfId="5250" xr:uid="{81D2C9C4-C48B-487D-B9B7-876B1C3B26E3}"/>
    <cellStyle name="Normal 5 6 6 2 2" xfId="9468" xr:uid="{8CCE6388-6505-4F24-B18F-F5628718853F}"/>
    <cellStyle name="Normal 5 6 6 3" xfId="7323" xr:uid="{2816D1D0-CBBB-487D-B8B1-5948B3F1D735}"/>
    <cellStyle name="Normal 5 6 7" xfId="3457" xr:uid="{A0E7D964-E04A-4562-86ED-8279E1B82F88}"/>
    <cellStyle name="Normal 5 6 7 2" xfId="7736" xr:uid="{EA7DCCA3-2B81-43CB-9B74-0D3BDBFDF1A6}"/>
    <cellStyle name="Normal 5 6 8" xfId="5671" xr:uid="{11ACA784-2FBC-4F84-93C0-F5D5D54D85F0}"/>
    <cellStyle name="Normal 5 6 9" xfId="1367" xr:uid="{EE03E128-BF4A-49ED-8453-646F10A43075}"/>
    <cellStyle name="Normal 5 7" xfId="473" xr:uid="{00000000-0005-0000-0000-000051030000}"/>
    <cellStyle name="Normal 5 7 2" xfId="952" xr:uid="{00000000-0005-0000-0000-000052030000}"/>
    <cellStyle name="Normal 5 7 2 2" xfId="4013" xr:uid="{D10D4476-F7B5-4F91-A2D9-3799AFC7A053}"/>
    <cellStyle name="Normal 5 7 2 2 2" xfId="8231" xr:uid="{7A01CEA8-2A35-4455-B1F3-4144FD55D75B}"/>
    <cellStyle name="Normal 5 7 2 3" xfId="6086" xr:uid="{46A43B27-EE2D-4F95-86D4-EB125D1C72DA}"/>
    <cellStyle name="Normal 5 7 2 4" xfId="1784" xr:uid="{906B03E6-45BB-446B-AC79-69C62B126557}"/>
    <cellStyle name="Normal 5 7 3" xfId="2197" xr:uid="{1C58F475-9857-4284-967A-5C2E6E39A4B3}"/>
    <cellStyle name="Normal 5 7 3 2" xfId="4426" xr:uid="{D8117B85-49F9-41EC-8DFC-1935F3591454}"/>
    <cellStyle name="Normal 5 7 3 2 2" xfId="8644" xr:uid="{BC96A380-B443-4F9E-A1C8-0A2387BEE77A}"/>
    <cellStyle name="Normal 5 7 3 3" xfId="6499" xr:uid="{EDB9CBD1-02E5-4552-AEEC-05088CF9FCCD}"/>
    <cellStyle name="Normal 5 7 4" xfId="2610" xr:uid="{FE70511D-1F2E-48B8-8A1B-86A7583C4C4E}"/>
    <cellStyle name="Normal 5 7 4 2" xfId="4839" xr:uid="{119E2733-A43D-42A1-97CE-9FA3FB5DDA27}"/>
    <cellStyle name="Normal 5 7 4 2 2" xfId="9057" xr:uid="{52722EE7-8A79-4524-B8F5-95725F485F40}"/>
    <cellStyle name="Normal 5 7 4 3" xfId="6912" xr:uid="{E6B4470B-08A0-4A05-92CD-C2A7D9DAEDC2}"/>
    <cellStyle name="Normal 5 7 5" xfId="3023" xr:uid="{BE8539DE-991C-4EA9-84B4-98644D6BDBCB}"/>
    <cellStyle name="Normal 5 7 5 2" xfId="5252" xr:uid="{8A879DF4-C6DC-447C-8021-6055435E4939}"/>
    <cellStyle name="Normal 5 7 5 2 2" xfId="9470" xr:uid="{08E254A2-0F84-4A48-8051-11B9C880947A}"/>
    <cellStyle name="Normal 5 7 5 3" xfId="7325" xr:uid="{03D7BCC1-7F81-4D49-AFFB-36B692237160}"/>
    <cellStyle name="Normal 5 7 6" xfId="3459" xr:uid="{9187CD55-6C7D-4530-979B-3461374D097F}"/>
    <cellStyle name="Normal 5 7 6 2" xfId="7738" xr:uid="{7E1E0CB8-EB54-423B-98E6-E2BB70C6770D}"/>
    <cellStyle name="Normal 5 7 7" xfId="5673" xr:uid="{B7FA0A9B-3DFB-46D9-9B0B-A14EA73ED604}"/>
    <cellStyle name="Normal 5 7 8" xfId="1369" xr:uid="{9AEC8389-4936-4664-8281-C3CAA0238874}"/>
    <cellStyle name="Normal 5 8" xfId="888" xr:uid="{00000000-0005-0000-0000-000053030000}"/>
    <cellStyle name="Normal 5 8 2" xfId="3950" xr:uid="{6196320C-B53F-41D1-A4E4-3C6B942A906E}"/>
    <cellStyle name="Normal 5 8 2 2" xfId="8168" xr:uid="{269637AD-B1A0-4775-AFD7-D0B66683D4BF}"/>
    <cellStyle name="Normal 5 8 3" xfId="6023" xr:uid="{34C62436-7BE8-4572-9D93-873A90CD6989}"/>
    <cellStyle name="Normal 5 8 4" xfId="1721" xr:uid="{3219233A-3D0B-4C21-9E44-6205F32C1C8F}"/>
    <cellStyle name="Normal 5 9" xfId="2134" xr:uid="{88B7E706-AE36-4273-B26A-42B8934691E8}"/>
    <cellStyle name="Normal 5 9 2" xfId="4363" xr:uid="{E8CBA378-AB8C-4AB5-B601-6732615CAB51}"/>
    <cellStyle name="Normal 5 9 2 2" xfId="8581" xr:uid="{AFBDD2EF-AD98-4772-A964-55DCC468DE74}"/>
    <cellStyle name="Normal 5 9 3" xfId="6436" xr:uid="{E8CF8DD4-418D-4D88-BAB2-D002CAD3C521}"/>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10" xfId="3024" xr:uid="{3367A0C0-84C0-44CD-A7DD-771E37E50511}"/>
    <cellStyle name="Normal 8 10 2" xfId="5253" xr:uid="{5E8EDF29-7B55-4853-AB19-9D2F5ED91589}"/>
    <cellStyle name="Normal 8 10 2 2" xfId="9471" xr:uid="{E2E89FEB-EFAC-48C8-90B7-BC0D72D821FB}"/>
    <cellStyle name="Normal 8 10 3" xfId="7326" xr:uid="{5B7F415C-F219-4301-8384-95528FD59D07}"/>
    <cellStyle name="Normal 8 11" xfId="3460" xr:uid="{E6152B6B-E5C2-4B69-BF5B-8184E6090088}"/>
    <cellStyle name="Normal 8 11 2" xfId="7739" xr:uid="{B0FB7DB1-9FD7-46F5-9929-E032FCBD399E}"/>
    <cellStyle name="Normal 8 12" xfId="5674" xr:uid="{5A0D1093-A75F-4B96-B792-720175ED59F5}"/>
    <cellStyle name="Normal 8 13" xfId="1370" xr:uid="{1D8A7B7B-F4CE-49F6-9E28-8BC929B55DDE}"/>
    <cellStyle name="Normal 8 2" xfId="482" xr:uid="{00000000-0005-0000-0000-00005C030000}"/>
    <cellStyle name="Normal 8 2 10" xfId="3461" xr:uid="{E1AF1274-0274-438C-9B58-0715B0D7325E}"/>
    <cellStyle name="Normal 8 2 10 2" xfId="7740" xr:uid="{4E496278-956C-4CD2-B711-F4BB6CBCB986}"/>
    <cellStyle name="Normal 8 2 11" xfId="5675" xr:uid="{50D439AD-04B8-49A7-B5A0-ED20781E0CE7}"/>
    <cellStyle name="Normal 8 2 12" xfId="1371" xr:uid="{D45E86D5-2A9B-4F31-91EA-9B94B78DA0B8}"/>
    <cellStyle name="Normal 8 2 2" xfId="483" xr:uid="{00000000-0005-0000-0000-00005D030000}"/>
    <cellStyle name="Normal 8 2 2 10" xfId="5676" xr:uid="{57280209-AFFF-4883-BFDB-4D1C6ED9F255}"/>
    <cellStyle name="Normal 8 2 2 11" xfId="1372" xr:uid="{483060B9-DD79-442D-888B-E929C0E83D69}"/>
    <cellStyle name="Normal 8 2 2 2" xfId="484" xr:uid="{00000000-0005-0000-0000-00005E030000}"/>
    <cellStyle name="Normal 8 2 2 2 10" xfId="1373" xr:uid="{190AF93B-BFB7-4875-AE41-1CA32C82D65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4019" xr:uid="{E8837C9B-EE26-4A70-963A-B59D1F87C3F1}"/>
    <cellStyle name="Normal 8 2 2 2 2 2 2 2 2" xfId="8237" xr:uid="{D2F27483-66C0-4861-A8C1-94C8691D01A7}"/>
    <cellStyle name="Normal 8 2 2 2 2 2 2 3" xfId="6092" xr:uid="{35066A23-7D41-4736-90B3-6604EE419C2E}"/>
    <cellStyle name="Normal 8 2 2 2 2 2 2 4" xfId="1790" xr:uid="{BC0AC865-AF37-46C9-8B7B-D9BDF71D78E3}"/>
    <cellStyle name="Normal 8 2 2 2 2 2 3" xfId="2203" xr:uid="{659848BC-7672-481A-8CBC-95B9ED3708BF}"/>
    <cellStyle name="Normal 8 2 2 2 2 2 3 2" xfId="4432" xr:uid="{91807D8C-546B-4EC8-AD20-285353CC9002}"/>
    <cellStyle name="Normal 8 2 2 2 2 2 3 2 2" xfId="8650" xr:uid="{C12627C2-3DFB-4BC0-835B-CB8159E6E364}"/>
    <cellStyle name="Normal 8 2 2 2 2 2 3 3" xfId="6505" xr:uid="{0E6806C0-3454-4A1C-9095-06EBE44CDA53}"/>
    <cellStyle name="Normal 8 2 2 2 2 2 4" xfId="2616" xr:uid="{BE293366-D3F0-4DD2-93C0-0015D4B2E45B}"/>
    <cellStyle name="Normal 8 2 2 2 2 2 4 2" xfId="4845" xr:uid="{D34A2C2C-C38D-439F-BB30-332DAB5D1BE2}"/>
    <cellStyle name="Normal 8 2 2 2 2 2 4 2 2" xfId="9063" xr:uid="{333D79FD-9EFA-41CB-A3D4-0681C54E9293}"/>
    <cellStyle name="Normal 8 2 2 2 2 2 4 3" xfId="6918" xr:uid="{4ED0EE56-52C3-4289-8437-2E25DFA1A6D9}"/>
    <cellStyle name="Normal 8 2 2 2 2 2 5" xfId="3029" xr:uid="{7E0489EB-70A2-49D1-A118-461A228F4AFA}"/>
    <cellStyle name="Normal 8 2 2 2 2 2 5 2" xfId="5258" xr:uid="{0BC3948F-8931-40A3-A473-5A4957080C81}"/>
    <cellStyle name="Normal 8 2 2 2 2 2 5 2 2" xfId="9476" xr:uid="{EF36EDD1-9C43-4A38-8947-304A9674FD9D}"/>
    <cellStyle name="Normal 8 2 2 2 2 2 5 3" xfId="7331" xr:uid="{D1C28179-AED8-466A-9DB7-5CEDF0E18261}"/>
    <cellStyle name="Normal 8 2 2 2 2 2 6" xfId="3465" xr:uid="{0BD7581F-1B2B-48AC-95DD-7EAEB5ED94A4}"/>
    <cellStyle name="Normal 8 2 2 2 2 2 6 2" xfId="7744" xr:uid="{9295F645-77BF-4308-8290-700E3D5FDAC4}"/>
    <cellStyle name="Normal 8 2 2 2 2 2 7" xfId="5679" xr:uid="{69C6A263-CA9F-4563-BE6A-35C417EFF925}"/>
    <cellStyle name="Normal 8 2 2 2 2 2 8" xfId="1375" xr:uid="{98A204AD-B2B3-4F7F-BB35-0904A5EE0062}"/>
    <cellStyle name="Normal 8 2 2 2 2 3" xfId="957" xr:uid="{00000000-0005-0000-0000-000062030000}"/>
    <cellStyle name="Normal 8 2 2 2 2 3 2" xfId="4018" xr:uid="{A494DE4D-703C-4FC0-9C26-7FE5163DC9A3}"/>
    <cellStyle name="Normal 8 2 2 2 2 3 2 2" xfId="8236" xr:uid="{5A2BDFD5-EC2D-4F39-9AA9-9874C1CBDC5C}"/>
    <cellStyle name="Normal 8 2 2 2 2 3 3" xfId="6091" xr:uid="{19C0E497-A100-4D92-A01A-501AFFFBF6A9}"/>
    <cellStyle name="Normal 8 2 2 2 2 3 4" xfId="1789" xr:uid="{228B7710-872D-4478-A6A8-EFAA896F81E9}"/>
    <cellStyle name="Normal 8 2 2 2 2 4" xfId="2202" xr:uid="{2D2DFE22-8E4E-4E66-BD73-DDB5BDAE04FD}"/>
    <cellStyle name="Normal 8 2 2 2 2 4 2" xfId="4431" xr:uid="{9E7B15F9-E7B2-48AA-B111-EDF51BEC8CFD}"/>
    <cellStyle name="Normal 8 2 2 2 2 4 2 2" xfId="8649" xr:uid="{5743437B-CB42-4705-B7E1-16D7143D2C14}"/>
    <cellStyle name="Normal 8 2 2 2 2 4 3" xfId="6504" xr:uid="{5E51AB90-474B-4BBC-9B48-4F461FA8886F}"/>
    <cellStyle name="Normal 8 2 2 2 2 5" xfId="2615" xr:uid="{935C0506-CE8A-4052-B9EF-46F6898B9233}"/>
    <cellStyle name="Normal 8 2 2 2 2 5 2" xfId="4844" xr:uid="{F31A08E4-052C-4D52-89E1-1CFC83A49F89}"/>
    <cellStyle name="Normal 8 2 2 2 2 5 2 2" xfId="9062" xr:uid="{BE25F641-DEB7-4173-890D-6ADCDD5BD691}"/>
    <cellStyle name="Normal 8 2 2 2 2 5 3" xfId="6917" xr:uid="{0E394BFE-4AAC-4CDD-BE49-B919A605C8BC}"/>
    <cellStyle name="Normal 8 2 2 2 2 6" xfId="3028" xr:uid="{6FE04C7A-1913-488F-9638-7A4681635AB2}"/>
    <cellStyle name="Normal 8 2 2 2 2 6 2" xfId="5257" xr:uid="{C452C79A-3B3B-4189-9666-B26B7CF19145}"/>
    <cellStyle name="Normal 8 2 2 2 2 6 2 2" xfId="9475" xr:uid="{F93CC527-CCE7-4367-894D-FF69382D3322}"/>
    <cellStyle name="Normal 8 2 2 2 2 6 3" xfId="7330" xr:uid="{49600177-FBB0-4188-B3D0-53E2AAF355E0}"/>
    <cellStyle name="Normal 8 2 2 2 2 7" xfId="3464" xr:uid="{7B4B9656-A577-442E-BA81-1AA0F58F0087}"/>
    <cellStyle name="Normal 8 2 2 2 2 7 2" xfId="7743" xr:uid="{DB786133-7C58-4F8D-9FF1-E08EF2296EF5}"/>
    <cellStyle name="Normal 8 2 2 2 2 8" xfId="5678" xr:uid="{B0D21DE1-5B7E-44B5-AA3A-21B366DCA5B8}"/>
    <cellStyle name="Normal 8 2 2 2 2 9" xfId="1374" xr:uid="{A5420D0E-4D15-4118-9CF4-0143354B8518}"/>
    <cellStyle name="Normal 8 2 2 2 3" xfId="487" xr:uid="{00000000-0005-0000-0000-000063030000}"/>
    <cellStyle name="Normal 8 2 2 2 3 2" xfId="959" xr:uid="{00000000-0005-0000-0000-000064030000}"/>
    <cellStyle name="Normal 8 2 2 2 3 2 2" xfId="4020" xr:uid="{B2DF5857-87FB-4EBF-A000-556DE6F483BE}"/>
    <cellStyle name="Normal 8 2 2 2 3 2 2 2" xfId="8238" xr:uid="{F9631853-6B0D-4E0F-B437-31035DD509BE}"/>
    <cellStyle name="Normal 8 2 2 2 3 2 3" xfId="6093" xr:uid="{A5DD0649-BB23-4382-BEAC-8031F5CB2DCB}"/>
    <cellStyle name="Normal 8 2 2 2 3 2 4" xfId="1791" xr:uid="{A9CCC345-1DF3-4C51-9263-DF989AA76FD6}"/>
    <cellStyle name="Normal 8 2 2 2 3 3" xfId="2204" xr:uid="{EE3BC604-83EF-4CDB-B04B-4DF5B266FDC3}"/>
    <cellStyle name="Normal 8 2 2 2 3 3 2" xfId="4433" xr:uid="{888AC1D7-7804-42EB-8D0E-3C98DFFE6B23}"/>
    <cellStyle name="Normal 8 2 2 2 3 3 2 2" xfId="8651" xr:uid="{E018D6D3-2811-4EE8-ABC0-929DE36C05CB}"/>
    <cellStyle name="Normal 8 2 2 2 3 3 3" xfId="6506" xr:uid="{539A3DCB-9F08-431E-9A02-39E82AEA1688}"/>
    <cellStyle name="Normal 8 2 2 2 3 4" xfId="2617" xr:uid="{FF3B0A37-F9B6-4A86-BDBB-C03649DDD6D8}"/>
    <cellStyle name="Normal 8 2 2 2 3 4 2" xfId="4846" xr:uid="{A17BE34A-E53F-4BAF-B0AA-12D6FEE43281}"/>
    <cellStyle name="Normal 8 2 2 2 3 4 2 2" xfId="9064" xr:uid="{A795518C-25ED-4DE5-8C67-BE3D8CF2A884}"/>
    <cellStyle name="Normal 8 2 2 2 3 4 3" xfId="6919" xr:uid="{947340D6-82E9-4342-A147-E107CAE4F5A5}"/>
    <cellStyle name="Normal 8 2 2 2 3 5" xfId="3030" xr:uid="{F7592428-BF14-4ECC-8DB3-226FF077086F}"/>
    <cellStyle name="Normal 8 2 2 2 3 5 2" xfId="5259" xr:uid="{87BC5B34-D854-406D-B1F2-577E2EA34CAE}"/>
    <cellStyle name="Normal 8 2 2 2 3 5 2 2" xfId="9477" xr:uid="{DAC72BE0-BDDF-4ACD-B7F9-2B4446816123}"/>
    <cellStyle name="Normal 8 2 2 2 3 5 3" xfId="7332" xr:uid="{D44F3F3C-C3A0-4311-99D7-09AA7841FCAB}"/>
    <cellStyle name="Normal 8 2 2 2 3 6" xfId="3466" xr:uid="{5CBA60C0-BC60-4BAB-A0F4-E6BE48C079BA}"/>
    <cellStyle name="Normal 8 2 2 2 3 6 2" xfId="7745" xr:uid="{72D9B03D-7F24-4825-993B-373A914A65F1}"/>
    <cellStyle name="Normal 8 2 2 2 3 7" xfId="5680" xr:uid="{8B6417C4-6C8D-4A6D-8A62-0E93C17F6619}"/>
    <cellStyle name="Normal 8 2 2 2 3 8" xfId="1376" xr:uid="{8B07CA1F-B853-4AEA-83B6-B00C694B1FB8}"/>
    <cellStyle name="Normal 8 2 2 2 4" xfId="956" xr:uid="{00000000-0005-0000-0000-000065030000}"/>
    <cellStyle name="Normal 8 2 2 2 4 2" xfId="4017" xr:uid="{F0C804E4-3B0E-40CB-B6EE-24EB8940C585}"/>
    <cellStyle name="Normal 8 2 2 2 4 2 2" xfId="8235" xr:uid="{5006EE4E-355A-4FAD-87FE-A2A4B00D37B0}"/>
    <cellStyle name="Normal 8 2 2 2 4 3" xfId="6090" xr:uid="{819BB6B7-4668-4848-80E0-C1B48B07CBFD}"/>
    <cellStyle name="Normal 8 2 2 2 4 4" xfId="1788" xr:uid="{60BDFE81-D8D0-4CA3-9F07-A32A45DF8F5E}"/>
    <cellStyle name="Normal 8 2 2 2 5" xfId="2201" xr:uid="{91FD47C9-ABB1-45ED-B6FB-918EF7B54016}"/>
    <cellStyle name="Normal 8 2 2 2 5 2" xfId="4430" xr:uid="{4E07B1AE-0998-46F7-9EFF-BB2C8E0A2ED8}"/>
    <cellStyle name="Normal 8 2 2 2 5 2 2" xfId="8648" xr:uid="{D57BB0E1-952F-49D5-A935-D27E9F95D9DC}"/>
    <cellStyle name="Normal 8 2 2 2 5 3" xfId="6503" xr:uid="{EC50BF0F-B15C-44DC-A3E3-771FD5043EF1}"/>
    <cellStyle name="Normal 8 2 2 2 6" xfId="2614" xr:uid="{03AF791E-CF76-48CA-9D60-037998F87793}"/>
    <cellStyle name="Normal 8 2 2 2 6 2" xfId="4843" xr:uid="{485E202E-C90C-421C-880D-E7828DAD1AA6}"/>
    <cellStyle name="Normal 8 2 2 2 6 2 2" xfId="9061" xr:uid="{68C0B066-C778-41C1-9586-C90F3C961C40}"/>
    <cellStyle name="Normal 8 2 2 2 6 3" xfId="6916" xr:uid="{588FE8D0-EEE1-4973-BE45-C3544212E28B}"/>
    <cellStyle name="Normal 8 2 2 2 7" xfId="3027" xr:uid="{73AFE08A-8AF2-4513-BD88-60817F28F71B}"/>
    <cellStyle name="Normal 8 2 2 2 7 2" xfId="5256" xr:uid="{B8D976D9-09B4-4B7B-A133-DF6389B0A967}"/>
    <cellStyle name="Normal 8 2 2 2 7 2 2" xfId="9474" xr:uid="{0BD4ACEE-AF3D-4FC2-AA8E-4E44BE669ED0}"/>
    <cellStyle name="Normal 8 2 2 2 7 3" xfId="7329" xr:uid="{C5CB9E11-C6BE-4176-840A-898735FE0EA0}"/>
    <cellStyle name="Normal 8 2 2 2 8" xfId="3463" xr:uid="{6175A023-1D6F-4A57-B193-894CD0E43672}"/>
    <cellStyle name="Normal 8 2 2 2 8 2" xfId="7742" xr:uid="{FD364DAD-5A70-41CE-8F94-DF41E8418738}"/>
    <cellStyle name="Normal 8 2 2 2 9" xfId="5677" xr:uid="{688A73B7-6BEF-4AA8-A91F-EF959AA1D7D8}"/>
    <cellStyle name="Normal 8 2 2 3" xfId="488" xr:uid="{00000000-0005-0000-0000-000066030000}"/>
    <cellStyle name="Normal 8 2 2 3 2" xfId="489" xr:uid="{00000000-0005-0000-0000-000067030000}"/>
    <cellStyle name="Normal 8 2 2 3 2 2" xfId="961" xr:uid="{00000000-0005-0000-0000-000068030000}"/>
    <cellStyle name="Normal 8 2 2 3 2 2 2" xfId="4022" xr:uid="{19F288E3-3380-4E28-AC1C-B9EB3CD79C9B}"/>
    <cellStyle name="Normal 8 2 2 3 2 2 2 2" xfId="8240" xr:uid="{48B9F259-A72E-4BCC-BA68-B2BD41C693D1}"/>
    <cellStyle name="Normal 8 2 2 3 2 2 3" xfId="6095" xr:uid="{758F616C-EC1D-48FC-9954-E7B8F3E915F8}"/>
    <cellStyle name="Normal 8 2 2 3 2 2 4" xfId="1793" xr:uid="{4B0E775D-00B2-47F2-9E4E-ABC16F1CB6B4}"/>
    <cellStyle name="Normal 8 2 2 3 2 3" xfId="2206" xr:uid="{F1AB7466-7DC5-47D7-807B-102BC0F56BC9}"/>
    <cellStyle name="Normal 8 2 2 3 2 3 2" xfId="4435" xr:uid="{FB6A26EB-070D-4558-80F6-54564B91196E}"/>
    <cellStyle name="Normal 8 2 2 3 2 3 2 2" xfId="8653" xr:uid="{538579F9-6CE9-41A3-8BD3-F815A73F46C4}"/>
    <cellStyle name="Normal 8 2 2 3 2 3 3" xfId="6508" xr:uid="{B8684A0F-A356-49DB-A39D-E6910067A314}"/>
    <cellStyle name="Normal 8 2 2 3 2 4" xfId="2619" xr:uid="{6D3A9334-CFBE-4E3D-BC36-42C9ABE9B079}"/>
    <cellStyle name="Normal 8 2 2 3 2 4 2" xfId="4848" xr:uid="{AC101628-10DE-4357-B607-7491958662A4}"/>
    <cellStyle name="Normal 8 2 2 3 2 4 2 2" xfId="9066" xr:uid="{F6D46E68-17D0-4146-96DA-BF06BAC909DF}"/>
    <cellStyle name="Normal 8 2 2 3 2 4 3" xfId="6921" xr:uid="{9B7DC4FD-0DF3-40D1-BA30-AC6BF6950324}"/>
    <cellStyle name="Normal 8 2 2 3 2 5" xfId="3032" xr:uid="{7C63ECF6-1888-457B-A3A6-DC2F46C543C7}"/>
    <cellStyle name="Normal 8 2 2 3 2 5 2" xfId="5261" xr:uid="{84F47D43-DC13-49A3-A1A2-001FCC8E07F6}"/>
    <cellStyle name="Normal 8 2 2 3 2 5 2 2" xfId="9479" xr:uid="{060E1EDE-EF9C-4DEF-9527-52E8A8D06013}"/>
    <cellStyle name="Normal 8 2 2 3 2 5 3" xfId="7334" xr:uid="{01166D3B-4E0E-4F9D-A1D1-25E7EB94B9EF}"/>
    <cellStyle name="Normal 8 2 2 3 2 6" xfId="3468" xr:uid="{68FE773A-3BD2-42CA-A0BB-76C84A78E427}"/>
    <cellStyle name="Normal 8 2 2 3 2 6 2" xfId="7747" xr:uid="{018FF2A9-5002-4758-8084-7DA5DBC89AAD}"/>
    <cellStyle name="Normal 8 2 2 3 2 7" xfId="5682" xr:uid="{3DD29303-2590-445F-9513-D9C40A0692AE}"/>
    <cellStyle name="Normal 8 2 2 3 2 8" xfId="1378" xr:uid="{F1769CC8-8B7C-41E1-9346-C566CFE77FA5}"/>
    <cellStyle name="Normal 8 2 2 3 3" xfId="960" xr:uid="{00000000-0005-0000-0000-000069030000}"/>
    <cellStyle name="Normal 8 2 2 3 3 2" xfId="4021" xr:uid="{A70E1DBD-6725-41D5-817E-0781C4C36582}"/>
    <cellStyle name="Normal 8 2 2 3 3 2 2" xfId="8239" xr:uid="{EC5382B6-BED0-4B98-A295-484B1D8A9FCD}"/>
    <cellStyle name="Normal 8 2 2 3 3 3" xfId="6094" xr:uid="{DFF9F94C-225C-41E3-93AF-C9333957D759}"/>
    <cellStyle name="Normal 8 2 2 3 3 4" xfId="1792" xr:uid="{2B645FC0-6569-41B5-91A4-B775331BC085}"/>
    <cellStyle name="Normal 8 2 2 3 4" xfId="2205" xr:uid="{4EBB8451-CF26-4E27-8AF4-4E1902159D02}"/>
    <cellStyle name="Normal 8 2 2 3 4 2" xfId="4434" xr:uid="{EF7FDE95-9D38-43C2-843B-7916CF60FC92}"/>
    <cellStyle name="Normal 8 2 2 3 4 2 2" xfId="8652" xr:uid="{E6EFDE45-A73D-47A0-92D4-9F018ACFE5A9}"/>
    <cellStyle name="Normal 8 2 2 3 4 3" xfId="6507" xr:uid="{841E32C3-73E0-4237-B098-528F9D38DDD8}"/>
    <cellStyle name="Normal 8 2 2 3 5" xfId="2618" xr:uid="{753F38DB-AF21-475C-A218-0E6769529A64}"/>
    <cellStyle name="Normal 8 2 2 3 5 2" xfId="4847" xr:uid="{C68DC229-81C2-4C64-B769-3583F725AE9D}"/>
    <cellStyle name="Normal 8 2 2 3 5 2 2" xfId="9065" xr:uid="{6675E904-8261-4D5F-A0B8-8904517C2E56}"/>
    <cellStyle name="Normal 8 2 2 3 5 3" xfId="6920" xr:uid="{86D05596-6556-4115-97F2-7A009A256603}"/>
    <cellStyle name="Normal 8 2 2 3 6" xfId="3031" xr:uid="{7763C299-EA7F-44A3-9684-B9AE00EA1F50}"/>
    <cellStyle name="Normal 8 2 2 3 6 2" xfId="5260" xr:uid="{E8283604-4708-435B-AEF3-1B1FC6CCD51E}"/>
    <cellStyle name="Normal 8 2 2 3 6 2 2" xfId="9478" xr:uid="{E46CA954-F94A-4C7B-B1B6-D13FAF5E49F4}"/>
    <cellStyle name="Normal 8 2 2 3 6 3" xfId="7333" xr:uid="{1CFBD643-6CBD-4A40-B4A9-49C1F1182365}"/>
    <cellStyle name="Normal 8 2 2 3 7" xfId="3467" xr:uid="{DC326FC2-965B-4F48-B3F5-57CC0B77A945}"/>
    <cellStyle name="Normal 8 2 2 3 7 2" xfId="7746" xr:uid="{38CC6F10-C6AC-4035-A26A-60B7BC84572E}"/>
    <cellStyle name="Normal 8 2 2 3 8" xfId="5681" xr:uid="{1B6B7888-EF80-4383-B424-BEC22DEDB38A}"/>
    <cellStyle name="Normal 8 2 2 3 9" xfId="1377" xr:uid="{EBE25D83-C634-40BE-8BC9-BAC4CD6D3BE9}"/>
    <cellStyle name="Normal 8 2 2 4" xfId="490" xr:uid="{00000000-0005-0000-0000-00006A030000}"/>
    <cellStyle name="Normal 8 2 2 4 2" xfId="962" xr:uid="{00000000-0005-0000-0000-00006B030000}"/>
    <cellStyle name="Normal 8 2 2 4 2 2" xfId="4023" xr:uid="{F30C8A46-5125-46C6-98C7-E6E0E4A3877F}"/>
    <cellStyle name="Normal 8 2 2 4 2 2 2" xfId="8241" xr:uid="{061458E6-012E-43C1-A3F1-93D92C80CB61}"/>
    <cellStyle name="Normal 8 2 2 4 2 3" xfId="6096" xr:uid="{8F32118F-21ED-4D7A-9C23-3699E770AD4A}"/>
    <cellStyle name="Normal 8 2 2 4 2 4" xfId="1794" xr:uid="{80C65D14-67F5-4D02-A380-F6195A408700}"/>
    <cellStyle name="Normal 8 2 2 4 3" xfId="2207" xr:uid="{31589790-66F2-44F2-A56D-69E24CC6C349}"/>
    <cellStyle name="Normal 8 2 2 4 3 2" xfId="4436" xr:uid="{42D2C204-7098-4ED3-9F14-B9B564D3E419}"/>
    <cellStyle name="Normal 8 2 2 4 3 2 2" xfId="8654" xr:uid="{40F5990A-6180-45CA-979B-983A5672117B}"/>
    <cellStyle name="Normal 8 2 2 4 3 3" xfId="6509" xr:uid="{DA8A8B38-8FC2-40A5-B5AF-E6AD39462FF6}"/>
    <cellStyle name="Normal 8 2 2 4 4" xfId="2620" xr:uid="{200D56EF-E0E1-4F25-B595-CDE91A0C2991}"/>
    <cellStyle name="Normal 8 2 2 4 4 2" xfId="4849" xr:uid="{A8F63EC5-BCDD-4F06-A660-564C1BD9A79B}"/>
    <cellStyle name="Normal 8 2 2 4 4 2 2" xfId="9067" xr:uid="{055763CA-831D-4C33-90FE-57BE5A0D7E9C}"/>
    <cellStyle name="Normal 8 2 2 4 4 3" xfId="6922" xr:uid="{3AC6FA2B-49DE-452F-86A4-77804AB5E7F2}"/>
    <cellStyle name="Normal 8 2 2 4 5" xfId="3033" xr:uid="{E855EDE3-EBDF-49C6-A3E4-11FAD1B2487E}"/>
    <cellStyle name="Normal 8 2 2 4 5 2" xfId="5262" xr:uid="{16B461C9-B270-42D1-8903-7D2859BF6590}"/>
    <cellStyle name="Normal 8 2 2 4 5 2 2" xfId="9480" xr:uid="{8E74802B-1665-4961-88DF-535C8ECD4EB6}"/>
    <cellStyle name="Normal 8 2 2 4 5 3" xfId="7335" xr:uid="{C653729F-BCDC-4646-A096-0BAAD4ECE68B}"/>
    <cellStyle name="Normal 8 2 2 4 6" xfId="3469" xr:uid="{053DC063-0E80-4B5E-B061-A6B52FEC35C9}"/>
    <cellStyle name="Normal 8 2 2 4 6 2" xfId="7748" xr:uid="{0CAA6F0D-19A9-417E-A828-2C9B8944CD36}"/>
    <cellStyle name="Normal 8 2 2 4 7" xfId="5683" xr:uid="{7326A7DF-94A5-4FEF-984D-BDF979870C4E}"/>
    <cellStyle name="Normal 8 2 2 4 8" xfId="1379" xr:uid="{15880E5F-3A6C-40E3-B9C8-724AA7E9A53C}"/>
    <cellStyle name="Normal 8 2 2 5" xfId="955" xr:uid="{00000000-0005-0000-0000-00006C030000}"/>
    <cellStyle name="Normal 8 2 2 5 2" xfId="4016" xr:uid="{233E022C-18AD-427A-910A-75A8B49F4441}"/>
    <cellStyle name="Normal 8 2 2 5 2 2" xfId="8234" xr:uid="{7ADA351B-D176-4C7B-B358-B0517C7FDF80}"/>
    <cellStyle name="Normal 8 2 2 5 3" xfId="6089" xr:uid="{BF8B1E32-7367-434D-A29B-8B1B05C4AF1E}"/>
    <cellStyle name="Normal 8 2 2 5 4" xfId="1787" xr:uid="{09A71779-34F2-4142-95AD-F555EFE3A1DE}"/>
    <cellStyle name="Normal 8 2 2 6" xfId="2200" xr:uid="{FE6D6078-8780-4E2E-886B-1B49A18FA36B}"/>
    <cellStyle name="Normal 8 2 2 6 2" xfId="4429" xr:uid="{FEC78A0C-1D16-4F3B-85A6-1FF54DCD9D6F}"/>
    <cellStyle name="Normal 8 2 2 6 2 2" xfId="8647" xr:uid="{1367257F-D21A-4F32-8D47-2BC218223E92}"/>
    <cellStyle name="Normal 8 2 2 6 3" xfId="6502" xr:uid="{C4B7C394-92C8-46E0-BBEF-1CC807B61733}"/>
    <cellStyle name="Normal 8 2 2 7" xfId="2613" xr:uid="{E862299F-9F61-4EE1-B8C6-22902150A8FF}"/>
    <cellStyle name="Normal 8 2 2 7 2" xfId="4842" xr:uid="{6E1A1402-23FB-446E-965F-788C433B7DAB}"/>
    <cellStyle name="Normal 8 2 2 7 2 2" xfId="9060" xr:uid="{044EA6CD-DB89-49F4-83CC-AA0103744C4E}"/>
    <cellStyle name="Normal 8 2 2 7 3" xfId="6915" xr:uid="{371BEEA3-C713-4072-8771-5E2C26F8FBA9}"/>
    <cellStyle name="Normal 8 2 2 8" xfId="3026" xr:uid="{1BC06FFC-3517-45E2-894D-235ADA5B2991}"/>
    <cellStyle name="Normal 8 2 2 8 2" xfId="5255" xr:uid="{985F5F38-B69A-4AD5-BF68-161831D5DA34}"/>
    <cellStyle name="Normal 8 2 2 8 2 2" xfId="9473" xr:uid="{61965432-B0BB-4170-99A9-8411E76D331B}"/>
    <cellStyle name="Normal 8 2 2 8 3" xfId="7328" xr:uid="{3179E630-C3C4-4B5C-A513-D9A3839D4482}"/>
    <cellStyle name="Normal 8 2 2 9" xfId="3462" xr:uid="{97CBE48C-5CB8-4466-BCFD-69CA48A59646}"/>
    <cellStyle name="Normal 8 2 2 9 2" xfId="7741" xr:uid="{50F64FFF-EDA5-4EC5-822F-842197075D49}"/>
    <cellStyle name="Normal 8 2 3" xfId="491" xr:uid="{00000000-0005-0000-0000-00006D030000}"/>
    <cellStyle name="Normal 8 2 3 10" xfId="1380" xr:uid="{7C0C3433-68C9-4689-99DC-7228BB97F0A7}"/>
    <cellStyle name="Normal 8 2 3 2" xfId="492" xr:uid="{00000000-0005-0000-0000-00006E030000}"/>
    <cellStyle name="Normal 8 2 3 2 2" xfId="493" xr:uid="{00000000-0005-0000-0000-00006F030000}"/>
    <cellStyle name="Normal 8 2 3 2 2 2" xfId="965" xr:uid="{00000000-0005-0000-0000-000070030000}"/>
    <cellStyle name="Normal 8 2 3 2 2 2 2" xfId="4026" xr:uid="{8F17DAEF-16DA-4B9D-9257-AE3A742BEF6E}"/>
    <cellStyle name="Normal 8 2 3 2 2 2 2 2" xfId="8244" xr:uid="{97E016F0-28BB-4153-9322-91BFD5612185}"/>
    <cellStyle name="Normal 8 2 3 2 2 2 3" xfId="6099" xr:uid="{D15E64B1-751A-42F9-B0E7-B9EC244D469A}"/>
    <cellStyle name="Normal 8 2 3 2 2 2 4" xfId="1797" xr:uid="{EA3DFF12-560E-4800-9EEF-43BA665EC0B7}"/>
    <cellStyle name="Normal 8 2 3 2 2 3" xfId="2210" xr:uid="{35890EDC-2B09-46A8-9CF4-E6AB0386FD1D}"/>
    <cellStyle name="Normal 8 2 3 2 2 3 2" xfId="4439" xr:uid="{8C9A782D-B12B-4682-8C17-C6A7F0CA5CD4}"/>
    <cellStyle name="Normal 8 2 3 2 2 3 2 2" xfId="8657" xr:uid="{CE1CD071-BBB9-4425-8C0F-1B0B19E33D43}"/>
    <cellStyle name="Normal 8 2 3 2 2 3 3" xfId="6512" xr:uid="{8F53EBF3-BA96-47CE-A429-FE5D3ED3C113}"/>
    <cellStyle name="Normal 8 2 3 2 2 4" xfId="2623" xr:uid="{985CBBB2-5273-49CF-BEED-4D1624066280}"/>
    <cellStyle name="Normal 8 2 3 2 2 4 2" xfId="4852" xr:uid="{4BD38FCA-7B75-4159-A5F3-A4E197FE1F33}"/>
    <cellStyle name="Normal 8 2 3 2 2 4 2 2" xfId="9070" xr:uid="{C7327530-5DC1-4D44-83E7-B19795D79ED5}"/>
    <cellStyle name="Normal 8 2 3 2 2 4 3" xfId="6925" xr:uid="{9C1F228D-770F-41AC-82CC-4D12E4E80C68}"/>
    <cellStyle name="Normal 8 2 3 2 2 5" xfId="3036" xr:uid="{C895F0A3-DB97-4FA4-9F83-DF88E6CF1854}"/>
    <cellStyle name="Normal 8 2 3 2 2 5 2" xfId="5265" xr:uid="{986599D4-3972-4AAA-8C2D-C8F28E364851}"/>
    <cellStyle name="Normal 8 2 3 2 2 5 2 2" xfId="9483" xr:uid="{ED4C4353-C93D-4A8E-837F-4032DFFB4164}"/>
    <cellStyle name="Normal 8 2 3 2 2 5 3" xfId="7338" xr:uid="{D3F94190-455B-42DD-B52A-7678A6D329BB}"/>
    <cellStyle name="Normal 8 2 3 2 2 6" xfId="3472" xr:uid="{4B85FE29-D5A0-47FA-8F65-8F407D2E0454}"/>
    <cellStyle name="Normal 8 2 3 2 2 6 2" xfId="7751" xr:uid="{1F45705F-A8AB-48F1-A22A-08E4A8FDF535}"/>
    <cellStyle name="Normal 8 2 3 2 2 7" xfId="5686" xr:uid="{7B1B10EB-4AAE-48D3-9B96-08ECE2890D08}"/>
    <cellStyle name="Normal 8 2 3 2 2 8" xfId="1382" xr:uid="{44F7B473-D50C-40A0-BA52-6C7D7057DDB5}"/>
    <cellStyle name="Normal 8 2 3 2 3" xfId="964" xr:uid="{00000000-0005-0000-0000-000071030000}"/>
    <cellStyle name="Normal 8 2 3 2 3 2" xfId="4025" xr:uid="{9BA60D07-67CE-448D-A2B4-19C076087D8E}"/>
    <cellStyle name="Normal 8 2 3 2 3 2 2" xfId="8243" xr:uid="{669F811A-B267-4F4E-877A-7184D84CCFB2}"/>
    <cellStyle name="Normal 8 2 3 2 3 3" xfId="6098" xr:uid="{05E128D6-92B1-41E6-B718-BEA032E7FC88}"/>
    <cellStyle name="Normal 8 2 3 2 3 4" xfId="1796" xr:uid="{686A61BC-F244-40D4-9A31-F7DE8FD2E71C}"/>
    <cellStyle name="Normal 8 2 3 2 4" xfId="2209" xr:uid="{92DDF897-79BB-4CBF-9C47-73CC6120E3D6}"/>
    <cellStyle name="Normal 8 2 3 2 4 2" xfId="4438" xr:uid="{8694CA18-FF94-4BE5-AE82-B870F545AC7F}"/>
    <cellStyle name="Normal 8 2 3 2 4 2 2" xfId="8656" xr:uid="{97CCC961-EC8D-49D7-843C-177B84CE66CE}"/>
    <cellStyle name="Normal 8 2 3 2 4 3" xfId="6511" xr:uid="{A24F429A-51ED-47FD-AD05-AF2DFB2528D5}"/>
    <cellStyle name="Normal 8 2 3 2 5" xfId="2622" xr:uid="{36201AB3-9FEE-4C3E-866B-351353542A5D}"/>
    <cellStyle name="Normal 8 2 3 2 5 2" xfId="4851" xr:uid="{F2BFA087-A3B8-4EB5-824D-3F12DEB75692}"/>
    <cellStyle name="Normal 8 2 3 2 5 2 2" xfId="9069" xr:uid="{24252996-D68A-4A46-8FD0-60754204A9AA}"/>
    <cellStyle name="Normal 8 2 3 2 5 3" xfId="6924" xr:uid="{513A6C13-1AF8-4931-A293-87C2276F059B}"/>
    <cellStyle name="Normal 8 2 3 2 6" xfId="3035" xr:uid="{24D25736-BA07-4EE8-946D-D600066A1225}"/>
    <cellStyle name="Normal 8 2 3 2 6 2" xfId="5264" xr:uid="{09DC93D4-018B-48F0-A297-3E17D63B595F}"/>
    <cellStyle name="Normal 8 2 3 2 6 2 2" xfId="9482" xr:uid="{4E3A4D64-13A0-490D-A272-2FD9A2CC0AF3}"/>
    <cellStyle name="Normal 8 2 3 2 6 3" xfId="7337" xr:uid="{70A7FA52-14E9-40A2-84F2-E98B64DD475A}"/>
    <cellStyle name="Normal 8 2 3 2 7" xfId="3471" xr:uid="{E6D4D6D1-4D32-4D8B-BC48-6A8245D0F043}"/>
    <cellStyle name="Normal 8 2 3 2 7 2" xfId="7750" xr:uid="{89300258-B365-470E-BB22-5DC5B28B5D36}"/>
    <cellStyle name="Normal 8 2 3 2 8" xfId="5685" xr:uid="{8769A271-D746-4ECA-925F-93ECFD1BECB7}"/>
    <cellStyle name="Normal 8 2 3 2 9" xfId="1381" xr:uid="{19C72A85-6AB1-44DF-B8F9-832B59EFBAC0}"/>
    <cellStyle name="Normal 8 2 3 3" xfId="494" xr:uid="{00000000-0005-0000-0000-000072030000}"/>
    <cellStyle name="Normal 8 2 3 3 2" xfId="966" xr:uid="{00000000-0005-0000-0000-000073030000}"/>
    <cellStyle name="Normal 8 2 3 3 2 2" xfId="4027" xr:uid="{A761CB9C-7169-4873-9A42-BE159A47EED3}"/>
    <cellStyle name="Normal 8 2 3 3 2 2 2" xfId="8245" xr:uid="{A292434F-5359-4464-8B2E-8CB005A94C7C}"/>
    <cellStyle name="Normal 8 2 3 3 2 3" xfId="6100" xr:uid="{62E06D64-C62A-45FD-816A-F9D3E101BF79}"/>
    <cellStyle name="Normal 8 2 3 3 2 4" xfId="1798" xr:uid="{B7D0E63F-D28A-49E9-829F-207C92778386}"/>
    <cellStyle name="Normal 8 2 3 3 3" xfId="2211" xr:uid="{FFAA3F49-F216-41F7-AD61-FB91EF5F72CD}"/>
    <cellStyle name="Normal 8 2 3 3 3 2" xfId="4440" xr:uid="{E327A1E0-A879-4B40-82CE-6C76FCA00C51}"/>
    <cellStyle name="Normal 8 2 3 3 3 2 2" xfId="8658" xr:uid="{83B33487-BE52-4288-9A3D-A949F9FAEE06}"/>
    <cellStyle name="Normal 8 2 3 3 3 3" xfId="6513" xr:uid="{5D64A7A6-8461-4291-9EF3-006065A943D6}"/>
    <cellStyle name="Normal 8 2 3 3 4" xfId="2624" xr:uid="{D6D46783-7725-47ED-B0C9-00354AD13E9E}"/>
    <cellStyle name="Normal 8 2 3 3 4 2" xfId="4853" xr:uid="{D395DF97-6568-40F0-A133-B8018EAE9EDA}"/>
    <cellStyle name="Normal 8 2 3 3 4 2 2" xfId="9071" xr:uid="{C96809FA-2077-4B0C-B3AD-32DB72FAC7F6}"/>
    <cellStyle name="Normal 8 2 3 3 4 3" xfId="6926" xr:uid="{67E79B25-E643-451C-88F6-3032699A6DF2}"/>
    <cellStyle name="Normal 8 2 3 3 5" xfId="3037" xr:uid="{2F96A0AE-D94B-4812-90C1-299C9FF8769E}"/>
    <cellStyle name="Normal 8 2 3 3 5 2" xfId="5266" xr:uid="{C92310B4-FA1F-45B3-8749-ABA67256EDC5}"/>
    <cellStyle name="Normal 8 2 3 3 5 2 2" xfId="9484" xr:uid="{67920EE7-2FD4-43A7-963E-8F727EEEA6A0}"/>
    <cellStyle name="Normal 8 2 3 3 5 3" xfId="7339" xr:uid="{EFED295A-9C33-4E88-ACFE-16CCF3AC9952}"/>
    <cellStyle name="Normal 8 2 3 3 6" xfId="3473" xr:uid="{32545ABA-EFB1-429E-9BA8-7660B093D109}"/>
    <cellStyle name="Normal 8 2 3 3 6 2" xfId="7752" xr:uid="{9122A720-CB0A-4E1C-9F63-1C4F7A6BEE39}"/>
    <cellStyle name="Normal 8 2 3 3 7" xfId="5687" xr:uid="{E5EB13E9-BADF-4910-8895-17E0DA1D2FA2}"/>
    <cellStyle name="Normal 8 2 3 3 8" xfId="1383" xr:uid="{AF09CA40-4BD4-4B74-A28F-474F006F4FC5}"/>
    <cellStyle name="Normal 8 2 3 4" xfId="963" xr:uid="{00000000-0005-0000-0000-000074030000}"/>
    <cellStyle name="Normal 8 2 3 4 2" xfId="4024" xr:uid="{DFEEAD9A-1430-4912-8EB9-FE58DC4137BB}"/>
    <cellStyle name="Normal 8 2 3 4 2 2" xfId="8242" xr:uid="{C19CE049-F1F0-4372-9E91-C2BD5F3AB77C}"/>
    <cellStyle name="Normal 8 2 3 4 3" xfId="6097" xr:uid="{C7F45C44-D8C6-4154-8802-5FC162DE82A3}"/>
    <cellStyle name="Normal 8 2 3 4 4" xfId="1795" xr:uid="{E16344B2-453D-4B3A-8D6F-0E211998AE19}"/>
    <cellStyle name="Normal 8 2 3 5" xfId="2208" xr:uid="{88A3452D-D578-4E0E-8206-F4DE6F16B869}"/>
    <cellStyle name="Normal 8 2 3 5 2" xfId="4437" xr:uid="{605A678F-795A-4F2A-B5D4-55886BA17ECB}"/>
    <cellStyle name="Normal 8 2 3 5 2 2" xfId="8655" xr:uid="{2EF3642A-4741-4356-A205-4665E3F06329}"/>
    <cellStyle name="Normal 8 2 3 5 3" xfId="6510" xr:uid="{44985EFA-7D48-48D2-9427-4C59E9CB5DB0}"/>
    <cellStyle name="Normal 8 2 3 6" xfId="2621" xr:uid="{5500E6C5-3506-431D-86D5-C6AF85423906}"/>
    <cellStyle name="Normal 8 2 3 6 2" xfId="4850" xr:uid="{6B676E8B-E9DB-43AE-B172-EDB261581DE2}"/>
    <cellStyle name="Normal 8 2 3 6 2 2" xfId="9068" xr:uid="{131E09AC-3F8D-451E-AF95-173DEA0A621D}"/>
    <cellStyle name="Normal 8 2 3 6 3" xfId="6923" xr:uid="{E68B387E-0DC8-40B3-8020-4849B45743FE}"/>
    <cellStyle name="Normal 8 2 3 7" xfId="3034" xr:uid="{4ADE970D-460D-450A-ACB9-DC74580AE0E7}"/>
    <cellStyle name="Normal 8 2 3 7 2" xfId="5263" xr:uid="{8F39D1A1-CAB1-4052-9F66-2DFEB6FC11CF}"/>
    <cellStyle name="Normal 8 2 3 7 2 2" xfId="9481" xr:uid="{4699B92B-93C2-4634-AC5C-DABD57BEF2B6}"/>
    <cellStyle name="Normal 8 2 3 7 3" xfId="7336" xr:uid="{4A0C11B3-A8C4-4B62-BD8C-BF1DD96D9F22}"/>
    <cellStyle name="Normal 8 2 3 8" xfId="3470" xr:uid="{9EF67C18-3616-4A47-A7B3-D0EF16248B82}"/>
    <cellStyle name="Normal 8 2 3 8 2" xfId="7749" xr:uid="{7FA38BB7-648A-4883-A348-7448F8150A39}"/>
    <cellStyle name="Normal 8 2 3 9" xfId="5684" xr:uid="{0A292C0C-9E8F-4F50-B86B-2640F6630B66}"/>
    <cellStyle name="Normal 8 2 4" xfId="495" xr:uid="{00000000-0005-0000-0000-000075030000}"/>
    <cellStyle name="Normal 8 2 4 2" xfId="496" xr:uid="{00000000-0005-0000-0000-000076030000}"/>
    <cellStyle name="Normal 8 2 4 2 2" xfId="968" xr:uid="{00000000-0005-0000-0000-000077030000}"/>
    <cellStyle name="Normal 8 2 4 2 2 2" xfId="4029" xr:uid="{7CD858D9-9BCD-4B22-844B-F63316F4F770}"/>
    <cellStyle name="Normal 8 2 4 2 2 2 2" xfId="8247" xr:uid="{F7D7749E-8D1D-4C36-B67F-A3F3F3AF0AB6}"/>
    <cellStyle name="Normal 8 2 4 2 2 3" xfId="6102" xr:uid="{D1CDA736-F680-41F1-9F2A-B539A5555060}"/>
    <cellStyle name="Normal 8 2 4 2 2 4" xfId="1800" xr:uid="{5B2F586B-A0A0-4EED-B4A9-E350341D71A3}"/>
    <cellStyle name="Normal 8 2 4 2 3" xfId="2213" xr:uid="{3846BCA1-CDEB-487C-A089-AE0CD82F2888}"/>
    <cellStyle name="Normal 8 2 4 2 3 2" xfId="4442" xr:uid="{E858951A-B575-4BB7-B13A-6FFCAB554C9F}"/>
    <cellStyle name="Normal 8 2 4 2 3 2 2" xfId="8660" xr:uid="{149F0F5C-A9B4-4E5A-A1ED-32ECCC2EDE74}"/>
    <cellStyle name="Normal 8 2 4 2 3 3" xfId="6515" xr:uid="{2325FE1B-370D-49BB-9CBB-C788945C9F02}"/>
    <cellStyle name="Normal 8 2 4 2 4" xfId="2626" xr:uid="{CE33EC3E-8EFF-4535-A9D0-26E4A028BADB}"/>
    <cellStyle name="Normal 8 2 4 2 4 2" xfId="4855" xr:uid="{00A5D5E2-4645-48A4-A5EB-E7DD6A0E47E7}"/>
    <cellStyle name="Normal 8 2 4 2 4 2 2" xfId="9073" xr:uid="{97121867-20C3-4964-8FF3-7661D7471804}"/>
    <cellStyle name="Normal 8 2 4 2 4 3" xfId="6928" xr:uid="{60E12F9B-2CBF-45A8-81DA-4236EFB2F0EB}"/>
    <cellStyle name="Normal 8 2 4 2 5" xfId="3039" xr:uid="{366E014A-DAE6-4A46-808D-17D8787D516B}"/>
    <cellStyle name="Normal 8 2 4 2 5 2" xfId="5268" xr:uid="{25CCEB3C-7DAD-4B90-B461-C62F93383E77}"/>
    <cellStyle name="Normal 8 2 4 2 5 2 2" xfId="9486" xr:uid="{723F30D8-5505-4EA9-BB34-A7F110956FA5}"/>
    <cellStyle name="Normal 8 2 4 2 5 3" xfId="7341" xr:uid="{48529E73-AEC7-4BE8-950E-1D99EED9E248}"/>
    <cellStyle name="Normal 8 2 4 2 6" xfId="3475" xr:uid="{42E8E79F-3D63-4F99-8A80-5FC46422B967}"/>
    <cellStyle name="Normal 8 2 4 2 6 2" xfId="7754" xr:uid="{2B0A6400-80DB-4189-B54D-020F136B0734}"/>
    <cellStyle name="Normal 8 2 4 2 7" xfId="5689" xr:uid="{54A559E7-1854-46A6-9B4F-F54CAB2DE0B5}"/>
    <cellStyle name="Normal 8 2 4 2 8" xfId="1385" xr:uid="{90E75A8C-BB90-4DCC-839B-E4DC757C1621}"/>
    <cellStyle name="Normal 8 2 4 3" xfId="967" xr:uid="{00000000-0005-0000-0000-000078030000}"/>
    <cellStyle name="Normal 8 2 4 3 2" xfId="4028" xr:uid="{63F54076-D79D-42B6-9262-CFCF39DCD35D}"/>
    <cellStyle name="Normal 8 2 4 3 2 2" xfId="8246" xr:uid="{018DBD04-7A63-4FE5-9E61-A451CC33741A}"/>
    <cellStyle name="Normal 8 2 4 3 3" xfId="6101" xr:uid="{E8C0DF6A-ECF3-42E6-B3AC-D4D536E70AD0}"/>
    <cellStyle name="Normal 8 2 4 3 4" xfId="1799" xr:uid="{48CEF5A8-C0FB-4DD4-844A-38193A317520}"/>
    <cellStyle name="Normal 8 2 4 4" xfId="2212" xr:uid="{A37A3158-CB09-4B6E-A14E-6AA496378F0A}"/>
    <cellStyle name="Normal 8 2 4 4 2" xfId="4441" xr:uid="{D15403F2-B497-4372-8D78-F901B4C9CC19}"/>
    <cellStyle name="Normal 8 2 4 4 2 2" xfId="8659" xr:uid="{DAF4B986-4280-4BA7-888B-FAADDE2D0D83}"/>
    <cellStyle name="Normal 8 2 4 4 3" xfId="6514" xr:uid="{1B6178B5-2B38-4B2A-A547-2E2E4FA42ADB}"/>
    <cellStyle name="Normal 8 2 4 5" xfId="2625" xr:uid="{69A0AC10-E0B6-4514-8A2B-917F88F033F5}"/>
    <cellStyle name="Normal 8 2 4 5 2" xfId="4854" xr:uid="{24BFFCD5-758E-4546-B9AA-830B655BAF35}"/>
    <cellStyle name="Normal 8 2 4 5 2 2" xfId="9072" xr:uid="{05C23140-5443-466F-A107-FC9110B035A8}"/>
    <cellStyle name="Normal 8 2 4 5 3" xfId="6927" xr:uid="{7B8A61C8-CDFD-4E75-AF36-95C4063AC9F5}"/>
    <cellStyle name="Normal 8 2 4 6" xfId="3038" xr:uid="{8D9C1E59-AC08-422E-B9C0-5D4B93CF584F}"/>
    <cellStyle name="Normal 8 2 4 6 2" xfId="5267" xr:uid="{B315D85B-31D4-49BF-B6DF-ACB6FE139CC2}"/>
    <cellStyle name="Normal 8 2 4 6 2 2" xfId="9485" xr:uid="{84CBAB5E-4D8B-45D9-BFBD-5AC9565179C9}"/>
    <cellStyle name="Normal 8 2 4 6 3" xfId="7340" xr:uid="{C24F488A-054F-4050-A1B1-0C4D2AF67DB9}"/>
    <cellStyle name="Normal 8 2 4 7" xfId="3474" xr:uid="{CD5B4DEF-0202-4C37-AB4B-83B3FE229613}"/>
    <cellStyle name="Normal 8 2 4 7 2" xfId="7753" xr:uid="{8AC6FA3B-507A-4020-B657-7CF864EF3937}"/>
    <cellStyle name="Normal 8 2 4 8" xfId="5688" xr:uid="{97358199-782A-457E-8CE0-17B0084EA279}"/>
    <cellStyle name="Normal 8 2 4 9" xfId="1384" xr:uid="{729DCF8E-908E-4EF6-97F3-0C2E6950D18B}"/>
    <cellStyle name="Normal 8 2 5" xfId="497" xr:uid="{00000000-0005-0000-0000-000079030000}"/>
    <cellStyle name="Normal 8 2 5 2" xfId="969" xr:uid="{00000000-0005-0000-0000-00007A030000}"/>
    <cellStyle name="Normal 8 2 5 2 2" xfId="4030" xr:uid="{07C7C8CF-4971-42CB-B66D-0E1B117E97A3}"/>
    <cellStyle name="Normal 8 2 5 2 2 2" xfId="8248" xr:uid="{361319C6-12BD-4321-916B-F62D8E3644F4}"/>
    <cellStyle name="Normal 8 2 5 2 3" xfId="6103" xr:uid="{302BEBD0-8B22-4E74-A6F4-13F1049E829E}"/>
    <cellStyle name="Normal 8 2 5 2 4" xfId="1801" xr:uid="{2CF83A65-683A-402F-B299-A30F35698EEC}"/>
    <cellStyle name="Normal 8 2 5 3" xfId="2214" xr:uid="{77DAB803-A8B3-4343-BB49-32318CB50396}"/>
    <cellStyle name="Normal 8 2 5 3 2" xfId="4443" xr:uid="{27A8A8A4-4DC5-415F-B189-7BC6DE8F79B5}"/>
    <cellStyle name="Normal 8 2 5 3 2 2" xfId="8661" xr:uid="{56213B60-517B-4EF2-9C05-AF1F5AB7BF08}"/>
    <cellStyle name="Normal 8 2 5 3 3" xfId="6516" xr:uid="{48A184CC-5475-4096-93D2-1109E83E8020}"/>
    <cellStyle name="Normal 8 2 5 4" xfId="2627" xr:uid="{060C6F5D-6335-4338-ABBC-DF21617A028D}"/>
    <cellStyle name="Normal 8 2 5 4 2" xfId="4856" xr:uid="{9B744F64-2297-4C35-973F-01CF78506136}"/>
    <cellStyle name="Normal 8 2 5 4 2 2" xfId="9074" xr:uid="{F2050F5E-29A0-4798-A0BC-A30FB3E54EA3}"/>
    <cellStyle name="Normal 8 2 5 4 3" xfId="6929" xr:uid="{B1201E35-1BA3-42CA-BF33-07F037B86528}"/>
    <cellStyle name="Normal 8 2 5 5" xfId="3040" xr:uid="{34421BE8-7EF4-4779-8F42-8985A7C337B6}"/>
    <cellStyle name="Normal 8 2 5 5 2" xfId="5269" xr:uid="{5B61CD71-676E-4F90-BE7A-2BD56B03563D}"/>
    <cellStyle name="Normal 8 2 5 5 2 2" xfId="9487" xr:uid="{1FE11C0F-E396-406C-BE61-0787CD0DAD01}"/>
    <cellStyle name="Normal 8 2 5 5 3" xfId="7342" xr:uid="{F01EF136-64C6-4FF4-BB67-C304F5ED6DC0}"/>
    <cellStyle name="Normal 8 2 5 6" xfId="3476" xr:uid="{F1117611-6483-4D54-BB7A-CB9A6E383C0E}"/>
    <cellStyle name="Normal 8 2 5 6 2" xfId="7755" xr:uid="{2A29FCA2-9270-4E25-A776-7FB2BD6D4799}"/>
    <cellStyle name="Normal 8 2 5 7" xfId="5690" xr:uid="{2A5939A2-4447-4A0A-9C30-2DF455A8E11C}"/>
    <cellStyle name="Normal 8 2 5 8" xfId="1386" xr:uid="{166CA011-2C4F-4F39-B4E6-4E28DDA4029A}"/>
    <cellStyle name="Normal 8 2 6" xfId="954" xr:uid="{00000000-0005-0000-0000-00007B030000}"/>
    <cellStyle name="Normal 8 2 6 2" xfId="4015" xr:uid="{9DAFE328-BC9F-43A2-969D-D701AE8539C0}"/>
    <cellStyle name="Normal 8 2 6 2 2" xfId="8233" xr:uid="{D7E7FB4E-3E58-4CE7-967B-6691AF8B0B00}"/>
    <cellStyle name="Normal 8 2 6 3" xfId="6088" xr:uid="{544C3297-F4B1-44DF-9A40-92A61333EFE5}"/>
    <cellStyle name="Normal 8 2 6 4" xfId="1786" xr:uid="{D6034A63-C65C-4A2A-8E16-DEABCAE22551}"/>
    <cellStyle name="Normal 8 2 7" xfId="2199" xr:uid="{4D7F233D-05E8-4A6E-B327-04E7B6B23025}"/>
    <cellStyle name="Normal 8 2 7 2" xfId="4428" xr:uid="{9A5EB518-A0E5-4DC8-83DD-448D90182759}"/>
    <cellStyle name="Normal 8 2 7 2 2" xfId="8646" xr:uid="{1F25A265-EBCB-4944-AC69-67971BD924F5}"/>
    <cellStyle name="Normal 8 2 7 3" xfId="6501" xr:uid="{A5F9D8A3-3C20-41CA-9DDC-849715A196DC}"/>
    <cellStyle name="Normal 8 2 8" xfId="2612" xr:uid="{BB4331F4-96F1-498E-A227-682611463C0F}"/>
    <cellStyle name="Normal 8 2 8 2" xfId="4841" xr:uid="{D887AD8F-30B7-4FCB-9A98-9D5B8480AFD9}"/>
    <cellStyle name="Normal 8 2 8 2 2" xfId="9059" xr:uid="{FDD53485-EC69-43F2-8596-BF9B3ED07D0E}"/>
    <cellStyle name="Normal 8 2 8 3" xfId="6914" xr:uid="{E096A578-7072-49BC-8723-FAE6F36A1DC4}"/>
    <cellStyle name="Normal 8 2 9" xfId="3025" xr:uid="{38C0AD45-A0CF-4603-9E54-1889F5F92B35}"/>
    <cellStyle name="Normal 8 2 9 2" xfId="5254" xr:uid="{DB5E14A7-AB80-4928-AC1B-B9304C59E3EE}"/>
    <cellStyle name="Normal 8 2 9 2 2" xfId="9472" xr:uid="{73C7B0FA-6AE3-48A9-80B2-C38E54E66008}"/>
    <cellStyle name="Normal 8 2 9 3" xfId="7327" xr:uid="{AA4AABBC-09DD-40DA-AFAE-02F8DD9C626F}"/>
    <cellStyle name="Normal 8 3" xfId="498" xr:uid="{00000000-0005-0000-0000-00007C030000}"/>
    <cellStyle name="Normal 8 3 10" xfId="5691" xr:uid="{181D5DAE-31BF-49F3-88B2-3F1F614AFF82}"/>
    <cellStyle name="Normal 8 3 11" xfId="1387" xr:uid="{9F340857-5503-4E4F-B3D8-56C3B494B4A8}"/>
    <cellStyle name="Normal 8 3 2" xfId="499" xr:uid="{00000000-0005-0000-0000-00007D030000}"/>
    <cellStyle name="Normal 8 3 2 10" xfId="1388" xr:uid="{E1DDFE14-1521-4907-AF22-DD66341F6B75}"/>
    <cellStyle name="Normal 8 3 2 2" xfId="500" xr:uid="{00000000-0005-0000-0000-00007E030000}"/>
    <cellStyle name="Normal 8 3 2 2 2" xfId="501" xr:uid="{00000000-0005-0000-0000-00007F030000}"/>
    <cellStyle name="Normal 8 3 2 2 2 2" xfId="973" xr:uid="{00000000-0005-0000-0000-000080030000}"/>
    <cellStyle name="Normal 8 3 2 2 2 2 2" xfId="4034" xr:uid="{B3D00ED9-4B19-443C-A316-1274A8E59BAB}"/>
    <cellStyle name="Normal 8 3 2 2 2 2 2 2" xfId="8252" xr:uid="{3CD15C78-4D3C-4834-87BB-B0D9F1EAA1B5}"/>
    <cellStyle name="Normal 8 3 2 2 2 2 3" xfId="6107" xr:uid="{26ABB0A5-C81A-4FAA-AB96-1B763764700A}"/>
    <cellStyle name="Normal 8 3 2 2 2 2 4" xfId="1805" xr:uid="{C2C4DA7F-851D-4B10-848C-918B1E68F3D4}"/>
    <cellStyle name="Normal 8 3 2 2 2 3" xfId="2218" xr:uid="{F62C1066-0680-45D2-A46B-E00E9B0BA6FB}"/>
    <cellStyle name="Normal 8 3 2 2 2 3 2" xfId="4447" xr:uid="{DD465E6C-4A5C-418D-9B98-87A3658BE732}"/>
    <cellStyle name="Normal 8 3 2 2 2 3 2 2" xfId="8665" xr:uid="{366CE192-F9DB-41ED-9895-566B5E094E40}"/>
    <cellStyle name="Normal 8 3 2 2 2 3 3" xfId="6520" xr:uid="{F0FA6DB0-E693-4D61-ABDE-5B4F6FA433E4}"/>
    <cellStyle name="Normal 8 3 2 2 2 4" xfId="2631" xr:uid="{7DA361A8-9B17-41D9-999C-327B3FF6E3FF}"/>
    <cellStyle name="Normal 8 3 2 2 2 4 2" xfId="4860" xr:uid="{028251B5-4876-4CF8-B0E7-611558550AEA}"/>
    <cellStyle name="Normal 8 3 2 2 2 4 2 2" xfId="9078" xr:uid="{F3B1881B-40FC-4E9F-AA8D-47AAFCBF1885}"/>
    <cellStyle name="Normal 8 3 2 2 2 4 3" xfId="6933" xr:uid="{E08AC241-4268-4A01-84B6-90845106CB66}"/>
    <cellStyle name="Normal 8 3 2 2 2 5" xfId="3044" xr:uid="{024949CC-B69B-4837-813D-6B239F5F7A57}"/>
    <cellStyle name="Normal 8 3 2 2 2 5 2" xfId="5273" xr:uid="{DFEE551F-3191-4AB4-B7E2-12E7C1C9C9E1}"/>
    <cellStyle name="Normal 8 3 2 2 2 5 2 2" xfId="9491" xr:uid="{0E0AE576-BC11-4FBE-82FF-3A86B2E4F6A9}"/>
    <cellStyle name="Normal 8 3 2 2 2 5 3" xfId="7346" xr:uid="{E3B151E7-DC73-476F-9CF9-08FC0173EE50}"/>
    <cellStyle name="Normal 8 3 2 2 2 6" xfId="3480" xr:uid="{8068C2D5-DBB5-4C45-894B-CDEE1E8F2C21}"/>
    <cellStyle name="Normal 8 3 2 2 2 6 2" xfId="7759" xr:uid="{4CDA2F64-11D1-49C0-8309-D72D08231C12}"/>
    <cellStyle name="Normal 8 3 2 2 2 7" xfId="5694" xr:uid="{83D22ABE-5FE2-4547-A6A9-B8A2EDED7DF2}"/>
    <cellStyle name="Normal 8 3 2 2 2 8" xfId="1390" xr:uid="{D274EA45-3DDC-441E-89FC-37D14425B63E}"/>
    <cellStyle name="Normal 8 3 2 2 3" xfId="972" xr:uid="{00000000-0005-0000-0000-000081030000}"/>
    <cellStyle name="Normal 8 3 2 2 3 2" xfId="4033" xr:uid="{3271560B-E85E-4C02-8BF1-CAC2EF93C504}"/>
    <cellStyle name="Normal 8 3 2 2 3 2 2" xfId="8251" xr:uid="{B6AB58BE-6F47-4A63-B597-288CF51D0EBF}"/>
    <cellStyle name="Normal 8 3 2 2 3 3" xfId="6106" xr:uid="{ED0384BE-D397-4756-B368-254374A8C3C1}"/>
    <cellStyle name="Normal 8 3 2 2 3 4" xfId="1804" xr:uid="{6C2480D2-31D9-45E9-91EA-B6AF0754E3E6}"/>
    <cellStyle name="Normal 8 3 2 2 4" xfId="2217" xr:uid="{D3A395C2-62E9-4693-835B-E54B32035145}"/>
    <cellStyle name="Normal 8 3 2 2 4 2" xfId="4446" xr:uid="{22DAB03A-41AF-497E-9329-3D07F49D25D5}"/>
    <cellStyle name="Normal 8 3 2 2 4 2 2" xfId="8664" xr:uid="{B85DC8AC-13F7-4707-8514-74FF4BC50A56}"/>
    <cellStyle name="Normal 8 3 2 2 4 3" xfId="6519" xr:uid="{2C2B1FEA-8080-4F81-BD0C-2A060F47587A}"/>
    <cellStyle name="Normal 8 3 2 2 5" xfId="2630" xr:uid="{18C26A3F-0A74-4791-8031-A23AEBA8D4FF}"/>
    <cellStyle name="Normal 8 3 2 2 5 2" xfId="4859" xr:uid="{055A4175-1B66-4C51-8207-4F79C26422FA}"/>
    <cellStyle name="Normal 8 3 2 2 5 2 2" xfId="9077" xr:uid="{0FF8B3DB-1C81-48B3-B381-036AC263936F}"/>
    <cellStyle name="Normal 8 3 2 2 5 3" xfId="6932" xr:uid="{7BB9F29B-961F-4198-87BE-32CD21876DF2}"/>
    <cellStyle name="Normal 8 3 2 2 6" xfId="3043" xr:uid="{BF3EADDD-0DA2-43FD-8436-C9454FDAA1A9}"/>
    <cellStyle name="Normal 8 3 2 2 6 2" xfId="5272" xr:uid="{5AA35B39-BEEB-414A-A89A-8F8A9E3A495F}"/>
    <cellStyle name="Normal 8 3 2 2 6 2 2" xfId="9490" xr:uid="{D4FB9EF8-E0C2-45FF-BA90-06055B7EABA7}"/>
    <cellStyle name="Normal 8 3 2 2 6 3" xfId="7345" xr:uid="{21A870D5-43A5-46B8-B94D-A91D2B6D734E}"/>
    <cellStyle name="Normal 8 3 2 2 7" xfId="3479" xr:uid="{285E9275-7BB2-44BD-B9A2-7BD2BD55EC96}"/>
    <cellStyle name="Normal 8 3 2 2 7 2" xfId="7758" xr:uid="{596904F5-9A3F-4D3D-9ACE-2B474D8FC90B}"/>
    <cellStyle name="Normal 8 3 2 2 8" xfId="5693" xr:uid="{C9E7201E-3D6F-4DB2-B189-A6A897C9A35B}"/>
    <cellStyle name="Normal 8 3 2 2 9" xfId="1389" xr:uid="{79514EAA-3CE8-4C3B-BC84-4AB548636B5D}"/>
    <cellStyle name="Normal 8 3 2 3" xfId="502" xr:uid="{00000000-0005-0000-0000-000082030000}"/>
    <cellStyle name="Normal 8 3 2 3 2" xfId="974" xr:uid="{00000000-0005-0000-0000-000083030000}"/>
    <cellStyle name="Normal 8 3 2 3 2 2" xfId="4035" xr:uid="{AA682CDD-FFBA-4ECB-81E3-52CDE04B0431}"/>
    <cellStyle name="Normal 8 3 2 3 2 2 2" xfId="8253" xr:uid="{526BF095-63EC-482B-B8AA-C36747017177}"/>
    <cellStyle name="Normal 8 3 2 3 2 3" xfId="6108" xr:uid="{101BABB0-D418-4398-836C-28CF63BE3959}"/>
    <cellStyle name="Normal 8 3 2 3 2 4" xfId="1806" xr:uid="{6F19EE36-D648-47CC-A957-61E75E46019C}"/>
    <cellStyle name="Normal 8 3 2 3 3" xfId="2219" xr:uid="{08BD092D-8A44-4A2A-87C4-26EB6B7B80E8}"/>
    <cellStyle name="Normal 8 3 2 3 3 2" xfId="4448" xr:uid="{D3DEC7DC-EF77-4993-B91F-E41AEDD493F0}"/>
    <cellStyle name="Normal 8 3 2 3 3 2 2" xfId="8666" xr:uid="{15A34567-AE21-4A8D-A396-823C858DC36F}"/>
    <cellStyle name="Normal 8 3 2 3 3 3" xfId="6521" xr:uid="{D9FD08EF-41B9-4A7E-911E-8E60495AAAD7}"/>
    <cellStyle name="Normal 8 3 2 3 4" xfId="2632" xr:uid="{2E5D7A0F-F52F-4315-9C66-A997C7FEE3C9}"/>
    <cellStyle name="Normal 8 3 2 3 4 2" xfId="4861" xr:uid="{13AA8717-FD9E-4C67-A49E-2C9A3818AF05}"/>
    <cellStyle name="Normal 8 3 2 3 4 2 2" xfId="9079" xr:uid="{7C83F05E-390D-41C7-BE88-CACC37635363}"/>
    <cellStyle name="Normal 8 3 2 3 4 3" xfId="6934" xr:uid="{413B7926-637B-4934-B2AE-762713077A0E}"/>
    <cellStyle name="Normal 8 3 2 3 5" xfId="3045" xr:uid="{E3432503-AAAD-4536-8A82-70EA74F84393}"/>
    <cellStyle name="Normal 8 3 2 3 5 2" xfId="5274" xr:uid="{F19ED1F6-7C3C-4190-9688-ECDF09EF53F3}"/>
    <cellStyle name="Normal 8 3 2 3 5 2 2" xfId="9492" xr:uid="{7FE7E9E5-751A-43FD-87AB-D497C97908C2}"/>
    <cellStyle name="Normal 8 3 2 3 5 3" xfId="7347" xr:uid="{59D49C3C-E55B-483B-B624-42863CF0EC2F}"/>
    <cellStyle name="Normal 8 3 2 3 6" xfId="3481" xr:uid="{BAEF7A85-398D-49AF-8033-8CDC9C11A266}"/>
    <cellStyle name="Normal 8 3 2 3 6 2" xfId="7760" xr:uid="{E6C7769B-5FA7-44B8-9A17-5FABB2FA59EE}"/>
    <cellStyle name="Normal 8 3 2 3 7" xfId="5695" xr:uid="{B29AF9AE-5D9A-4A4F-AE28-FBF572F57B8E}"/>
    <cellStyle name="Normal 8 3 2 3 8" xfId="1391" xr:uid="{80D5050D-F016-4D7A-BC83-E7E2D3D79BF5}"/>
    <cellStyle name="Normal 8 3 2 4" xfId="971" xr:uid="{00000000-0005-0000-0000-000084030000}"/>
    <cellStyle name="Normal 8 3 2 4 2" xfId="4032" xr:uid="{7C3B2955-2BD6-4DEF-8772-36398B295438}"/>
    <cellStyle name="Normal 8 3 2 4 2 2" xfId="8250" xr:uid="{868EDB6D-D67B-4F70-B39C-F7123711DF8B}"/>
    <cellStyle name="Normal 8 3 2 4 3" xfId="6105" xr:uid="{F1072781-5918-486D-8E9B-054DD71E4651}"/>
    <cellStyle name="Normal 8 3 2 4 4" xfId="1803" xr:uid="{48E99D3B-A58B-4065-939D-994C3C89FB96}"/>
    <cellStyle name="Normal 8 3 2 5" xfId="2216" xr:uid="{4DE456D0-030D-425D-BFD8-491CCAB5809B}"/>
    <cellStyle name="Normal 8 3 2 5 2" xfId="4445" xr:uid="{E5BFB36B-5F4E-4404-A5A7-E054DB20CF18}"/>
    <cellStyle name="Normal 8 3 2 5 2 2" xfId="8663" xr:uid="{EFE20C53-C359-4C19-B054-37EF573B5885}"/>
    <cellStyle name="Normal 8 3 2 5 3" xfId="6518" xr:uid="{6480B014-818B-491F-93EA-0B83695F16D4}"/>
    <cellStyle name="Normal 8 3 2 6" xfId="2629" xr:uid="{F2315DA4-42B0-4A3D-B9F1-91DF54DC39D1}"/>
    <cellStyle name="Normal 8 3 2 6 2" xfId="4858" xr:uid="{CC6D1D01-C166-4F04-9AF3-39561C01C4EF}"/>
    <cellStyle name="Normal 8 3 2 6 2 2" xfId="9076" xr:uid="{6C605DC3-F54C-4880-ABA8-7B370BFFD82C}"/>
    <cellStyle name="Normal 8 3 2 6 3" xfId="6931" xr:uid="{CF652C11-1BDB-43C9-AFB6-BFCA0BDF7FDC}"/>
    <cellStyle name="Normal 8 3 2 7" xfId="3042" xr:uid="{CD06EA6B-3DF4-4A67-A05D-2D7825CD6569}"/>
    <cellStyle name="Normal 8 3 2 7 2" xfId="5271" xr:uid="{EFFF05B0-EE11-4D59-8B95-907366578D12}"/>
    <cellStyle name="Normal 8 3 2 7 2 2" xfId="9489" xr:uid="{5AFB6816-5FAC-4939-B1FA-CCDDE2CFE583}"/>
    <cellStyle name="Normal 8 3 2 7 3" xfId="7344" xr:uid="{5ED34689-8ED1-4061-A413-028F1747A3A2}"/>
    <cellStyle name="Normal 8 3 2 8" xfId="3478" xr:uid="{541419F5-2D44-4B51-A4DD-6AEA8F07F9EA}"/>
    <cellStyle name="Normal 8 3 2 8 2" xfId="7757" xr:uid="{DFF41FD5-C96F-4C55-9C9C-5CB302A84F24}"/>
    <cellStyle name="Normal 8 3 2 9" xfId="5692" xr:uid="{D5BC241B-D692-4A70-988B-FFDADC9D64F5}"/>
    <cellStyle name="Normal 8 3 3" xfId="503" xr:uid="{00000000-0005-0000-0000-000085030000}"/>
    <cellStyle name="Normal 8 3 3 2" xfId="504" xr:uid="{00000000-0005-0000-0000-000086030000}"/>
    <cellStyle name="Normal 8 3 3 2 2" xfId="976" xr:uid="{00000000-0005-0000-0000-000087030000}"/>
    <cellStyle name="Normal 8 3 3 2 2 2" xfId="4037" xr:uid="{2F0E3D13-15F3-4CA5-B1BB-31E08BD542B3}"/>
    <cellStyle name="Normal 8 3 3 2 2 2 2" xfId="8255" xr:uid="{F5FDE75B-29BC-4750-86A5-26BE2F4DA93E}"/>
    <cellStyle name="Normal 8 3 3 2 2 3" xfId="6110" xr:uid="{65FBBBC8-C96A-4867-ABDF-83AA1F6ED5D8}"/>
    <cellStyle name="Normal 8 3 3 2 2 4" xfId="1808" xr:uid="{826B81A2-6850-459C-A5DA-0533EC7A69EF}"/>
    <cellStyle name="Normal 8 3 3 2 3" xfId="2221" xr:uid="{BDB83DF0-8847-42EE-8252-CF1951F246AE}"/>
    <cellStyle name="Normal 8 3 3 2 3 2" xfId="4450" xr:uid="{46DB93B2-D7B1-4D4B-85E7-85DBFCAD1F75}"/>
    <cellStyle name="Normal 8 3 3 2 3 2 2" xfId="8668" xr:uid="{AEEB289B-4A5C-49E5-B19E-76DD657D77BD}"/>
    <cellStyle name="Normal 8 3 3 2 3 3" xfId="6523" xr:uid="{2EF86464-8F8D-44D9-A88D-89EE013AA715}"/>
    <cellStyle name="Normal 8 3 3 2 4" xfId="2634" xr:uid="{587E79F4-F9EF-45EA-B385-BF740846EB56}"/>
    <cellStyle name="Normal 8 3 3 2 4 2" xfId="4863" xr:uid="{D45C05EB-6E73-466A-8084-E06ED24897D9}"/>
    <cellStyle name="Normal 8 3 3 2 4 2 2" xfId="9081" xr:uid="{A066AEBB-1289-4CE6-9856-AACB7F64551F}"/>
    <cellStyle name="Normal 8 3 3 2 4 3" xfId="6936" xr:uid="{3BED43EE-2F39-499B-A5E9-193B266AA48F}"/>
    <cellStyle name="Normal 8 3 3 2 5" xfId="3047" xr:uid="{B02C8F99-6FA4-4384-89E3-1E4E4E60BCDE}"/>
    <cellStyle name="Normal 8 3 3 2 5 2" xfId="5276" xr:uid="{20F5D781-F265-4566-9B8C-863BCAB589F3}"/>
    <cellStyle name="Normal 8 3 3 2 5 2 2" xfId="9494" xr:uid="{61817B20-CF70-4070-AB18-4319E299DA15}"/>
    <cellStyle name="Normal 8 3 3 2 5 3" xfId="7349" xr:uid="{288E60C7-42D3-4558-A33F-EC2C6127CC78}"/>
    <cellStyle name="Normal 8 3 3 2 6" xfId="3483" xr:uid="{A59E7FD5-7BA6-45D5-892F-3422DC29E441}"/>
    <cellStyle name="Normal 8 3 3 2 6 2" xfId="7762" xr:uid="{D02D13D8-C5B9-413C-AB7E-88476B9E069E}"/>
    <cellStyle name="Normal 8 3 3 2 7" xfId="5697" xr:uid="{F8875BEB-DFF2-4CAD-A17A-23B26905934C}"/>
    <cellStyle name="Normal 8 3 3 2 8" xfId="1393" xr:uid="{88D5CB0A-AA76-4C35-9B3E-3E9DCF082099}"/>
    <cellStyle name="Normal 8 3 3 3" xfId="975" xr:uid="{00000000-0005-0000-0000-000088030000}"/>
    <cellStyle name="Normal 8 3 3 3 2" xfId="4036" xr:uid="{CCBF3880-3D18-43C1-99A7-0E6E95B6772E}"/>
    <cellStyle name="Normal 8 3 3 3 2 2" xfId="8254" xr:uid="{450D2A84-6F97-4547-B126-AF6A826F1060}"/>
    <cellStyle name="Normal 8 3 3 3 3" xfId="6109" xr:uid="{A5087BAC-325D-4422-B50E-204A10F4B821}"/>
    <cellStyle name="Normal 8 3 3 3 4" xfId="1807" xr:uid="{B5F71575-83F5-485F-94C9-ABE56D195812}"/>
    <cellStyle name="Normal 8 3 3 4" xfId="2220" xr:uid="{E2912FD5-0A03-4209-B5ED-4A099586F3DD}"/>
    <cellStyle name="Normal 8 3 3 4 2" xfId="4449" xr:uid="{3983748A-7BE9-4766-BD9E-C627D089B1D0}"/>
    <cellStyle name="Normal 8 3 3 4 2 2" xfId="8667" xr:uid="{23374CF6-3110-4E12-90F8-4D045E75587A}"/>
    <cellStyle name="Normal 8 3 3 4 3" xfId="6522" xr:uid="{68178DAC-F27B-4C1A-B081-F4565A554A2A}"/>
    <cellStyle name="Normal 8 3 3 5" xfId="2633" xr:uid="{BF835994-72DA-44A1-9A0D-4F5FE663B8DE}"/>
    <cellStyle name="Normal 8 3 3 5 2" xfId="4862" xr:uid="{A639C70F-C481-4FB3-A1EE-E5E5B836A3FB}"/>
    <cellStyle name="Normal 8 3 3 5 2 2" xfId="9080" xr:uid="{8AD4DF9C-2D6C-47FB-AEDC-DC95BE2667BE}"/>
    <cellStyle name="Normal 8 3 3 5 3" xfId="6935" xr:uid="{29B2EF8C-9C0F-4D87-B13E-75BB07670C53}"/>
    <cellStyle name="Normal 8 3 3 6" xfId="3046" xr:uid="{C2191FE2-74CF-4E05-A960-FDB53E6F3B23}"/>
    <cellStyle name="Normal 8 3 3 6 2" xfId="5275" xr:uid="{0F91AC96-FD06-43C2-99A3-CA97740F9C69}"/>
    <cellStyle name="Normal 8 3 3 6 2 2" xfId="9493" xr:uid="{9A5F003D-9D5A-4632-8A5D-7689A6DD298E}"/>
    <cellStyle name="Normal 8 3 3 6 3" xfId="7348" xr:uid="{61B45AFC-EE21-48F5-8DD6-A4DBFFE4E265}"/>
    <cellStyle name="Normal 8 3 3 7" xfId="3482" xr:uid="{86B5BCA6-E94B-41B3-9785-71BEF69CA706}"/>
    <cellStyle name="Normal 8 3 3 7 2" xfId="7761" xr:uid="{AD3D63A4-1E56-4331-89FA-0A8C4C9D4AEE}"/>
    <cellStyle name="Normal 8 3 3 8" xfId="5696" xr:uid="{7C4F097F-E966-424A-B7A1-2D1D49B8900D}"/>
    <cellStyle name="Normal 8 3 3 9" xfId="1392" xr:uid="{A9140A68-7833-4192-8DEC-56066B8B7711}"/>
    <cellStyle name="Normal 8 3 4" xfId="505" xr:uid="{00000000-0005-0000-0000-000089030000}"/>
    <cellStyle name="Normal 8 3 4 2" xfId="977" xr:uid="{00000000-0005-0000-0000-00008A030000}"/>
    <cellStyle name="Normal 8 3 4 2 2" xfId="4038" xr:uid="{B82B3280-B784-4C89-8B90-B83280721F6C}"/>
    <cellStyle name="Normal 8 3 4 2 2 2" xfId="8256" xr:uid="{8A612C48-9D53-4DC9-BFBE-563EEB0D6376}"/>
    <cellStyle name="Normal 8 3 4 2 3" xfId="6111" xr:uid="{E9015BF4-0A1D-4414-B01D-6F4805E82D02}"/>
    <cellStyle name="Normal 8 3 4 2 4" xfId="1809" xr:uid="{D2A66E23-FCDA-4B80-9854-08E5D8122C3E}"/>
    <cellStyle name="Normal 8 3 4 3" xfId="2222" xr:uid="{2708E764-7D92-4A1A-8942-0C7C757BD813}"/>
    <cellStyle name="Normal 8 3 4 3 2" xfId="4451" xr:uid="{F93A0EF9-71AA-4593-8BE4-CDCD4951E59B}"/>
    <cellStyle name="Normal 8 3 4 3 2 2" xfId="8669" xr:uid="{BBBF268D-6014-4C8E-A28B-48E1822FF2A1}"/>
    <cellStyle name="Normal 8 3 4 3 3" xfId="6524" xr:uid="{1A890EEA-A112-42AA-9961-1E1A3EB4B749}"/>
    <cellStyle name="Normal 8 3 4 4" xfId="2635" xr:uid="{DF8238AD-EA24-4A23-A5A2-8A94B2A5E64E}"/>
    <cellStyle name="Normal 8 3 4 4 2" xfId="4864" xr:uid="{54A05C22-D82A-4861-A4B7-A24744C8FD93}"/>
    <cellStyle name="Normal 8 3 4 4 2 2" xfId="9082" xr:uid="{C1539F75-62BA-4B3D-9FF2-4689E9F06582}"/>
    <cellStyle name="Normal 8 3 4 4 3" xfId="6937" xr:uid="{99D707E8-0656-4ED2-A973-2796747A20B4}"/>
    <cellStyle name="Normal 8 3 4 5" xfId="3048" xr:uid="{B731CE88-C33D-4359-8665-404F99221B41}"/>
    <cellStyle name="Normal 8 3 4 5 2" xfId="5277" xr:uid="{931343ED-E634-4A0A-82C8-E7596FEA252D}"/>
    <cellStyle name="Normal 8 3 4 5 2 2" xfId="9495" xr:uid="{A9995E14-94EB-41A8-A71F-08E9FEFE9CCF}"/>
    <cellStyle name="Normal 8 3 4 5 3" xfId="7350" xr:uid="{B89D4612-7CF4-4FE3-900D-39C6B516CDB4}"/>
    <cellStyle name="Normal 8 3 4 6" xfId="3484" xr:uid="{E1FFA80F-D992-4A6A-A0A2-3A29BDBDDE13}"/>
    <cellStyle name="Normal 8 3 4 6 2" xfId="7763" xr:uid="{2981B034-586B-4DB4-A4D5-256EBEF22E87}"/>
    <cellStyle name="Normal 8 3 4 7" xfId="5698" xr:uid="{4F7C1F93-AC5C-403B-AA40-328046F72DC5}"/>
    <cellStyle name="Normal 8 3 4 8" xfId="1394" xr:uid="{F880936D-5657-4454-9E0F-0D4C3D77B6E2}"/>
    <cellStyle name="Normal 8 3 5" xfId="970" xr:uid="{00000000-0005-0000-0000-00008B030000}"/>
    <cellStyle name="Normal 8 3 5 2" xfId="4031" xr:uid="{2D919AED-533F-46E2-A577-07CA44E0291A}"/>
    <cellStyle name="Normal 8 3 5 2 2" xfId="8249" xr:uid="{68E15691-8A26-4005-862C-AAFB60087DE0}"/>
    <cellStyle name="Normal 8 3 5 3" xfId="6104" xr:uid="{778B5079-9487-4A2D-85C1-D674AED991C6}"/>
    <cellStyle name="Normal 8 3 5 4" xfId="1802" xr:uid="{4E1F8F75-7FB5-4B09-A149-7F05468C0EB4}"/>
    <cellStyle name="Normal 8 3 6" xfId="2215" xr:uid="{3D87E118-CC77-4EDE-97DD-2A40AEA2058A}"/>
    <cellStyle name="Normal 8 3 6 2" xfId="4444" xr:uid="{46BB3EE3-2F6F-4129-A7D5-647A42BF7792}"/>
    <cellStyle name="Normal 8 3 6 2 2" xfId="8662" xr:uid="{FF66B6DB-8392-456F-B947-776D365D352A}"/>
    <cellStyle name="Normal 8 3 6 3" xfId="6517" xr:uid="{B679CB96-02B1-4263-A9F4-9F430F9BFCC9}"/>
    <cellStyle name="Normal 8 3 7" xfId="2628" xr:uid="{40B547C8-F8A8-4339-9453-B9BDE997907F}"/>
    <cellStyle name="Normal 8 3 7 2" xfId="4857" xr:uid="{82091009-13A2-4EAF-8118-D60753077897}"/>
    <cellStyle name="Normal 8 3 7 2 2" xfId="9075" xr:uid="{3FDBAE68-AE22-42B0-974F-1ADC276761B9}"/>
    <cellStyle name="Normal 8 3 7 3" xfId="6930" xr:uid="{414563CE-EF11-4470-86BB-3F636BCE46A6}"/>
    <cellStyle name="Normal 8 3 8" xfId="3041" xr:uid="{06CEFD85-3B28-4AE1-B4B0-0BC71289901B}"/>
    <cellStyle name="Normal 8 3 8 2" xfId="5270" xr:uid="{3851B62F-C1B9-4D93-A5AB-090C8A140C6E}"/>
    <cellStyle name="Normal 8 3 8 2 2" xfId="9488" xr:uid="{2BDED48E-6379-4792-B975-C135AE357F46}"/>
    <cellStyle name="Normal 8 3 8 3" xfId="7343" xr:uid="{23ADE080-E320-4198-B724-E65975F945CB}"/>
    <cellStyle name="Normal 8 3 9" xfId="3477" xr:uid="{7C416434-3EE4-4A54-BD5F-40D5FBB09511}"/>
    <cellStyle name="Normal 8 3 9 2" xfId="7756" xr:uid="{C7312569-7C25-4ED3-B8E2-BBEAF0D786A4}"/>
    <cellStyle name="Normal 8 4" xfId="506" xr:uid="{00000000-0005-0000-0000-00008C030000}"/>
    <cellStyle name="Normal 8 4 10" xfId="1395" xr:uid="{B5182341-73E3-4D01-821B-1A87F3C2F3D6}"/>
    <cellStyle name="Normal 8 4 2" xfId="507" xr:uid="{00000000-0005-0000-0000-00008D030000}"/>
    <cellStyle name="Normal 8 4 2 2" xfId="508" xr:uid="{00000000-0005-0000-0000-00008E030000}"/>
    <cellStyle name="Normal 8 4 2 2 2" xfId="980" xr:uid="{00000000-0005-0000-0000-00008F030000}"/>
    <cellStyle name="Normal 8 4 2 2 2 2" xfId="4041" xr:uid="{A6B80DAA-2668-40A9-8EA4-CD347FC94047}"/>
    <cellStyle name="Normal 8 4 2 2 2 2 2" xfId="8259" xr:uid="{959E8892-7D3D-4BAF-85AD-0689026D9264}"/>
    <cellStyle name="Normal 8 4 2 2 2 3" xfId="6114" xr:uid="{62C65CBD-0B67-491E-BE62-D79AC32333EE}"/>
    <cellStyle name="Normal 8 4 2 2 2 4" xfId="1812" xr:uid="{A129EA37-1C3E-42C0-931B-36711C3FDC48}"/>
    <cellStyle name="Normal 8 4 2 2 3" xfId="2225" xr:uid="{2D6C075F-C2BF-477C-9E82-70020C8B2067}"/>
    <cellStyle name="Normal 8 4 2 2 3 2" xfId="4454" xr:uid="{CE8FF7FC-79FC-4D00-806E-C0F774F64058}"/>
    <cellStyle name="Normal 8 4 2 2 3 2 2" xfId="8672" xr:uid="{04C5C8BA-DEC9-41EC-8C2A-0187934F51A6}"/>
    <cellStyle name="Normal 8 4 2 2 3 3" xfId="6527" xr:uid="{DB04FF96-5149-4D0D-B01D-8D9094D448AC}"/>
    <cellStyle name="Normal 8 4 2 2 4" xfId="2638" xr:uid="{B425B646-625A-445C-AEF9-7E55C59D2135}"/>
    <cellStyle name="Normal 8 4 2 2 4 2" xfId="4867" xr:uid="{FFDC43F9-2F97-48ED-979A-D50F643682B3}"/>
    <cellStyle name="Normal 8 4 2 2 4 2 2" xfId="9085" xr:uid="{56D763B3-7EE8-432A-9A2B-D452B0AAAE40}"/>
    <cellStyle name="Normal 8 4 2 2 4 3" xfId="6940" xr:uid="{8AC5E891-1CD8-4AC4-B041-6CCF459D74F9}"/>
    <cellStyle name="Normal 8 4 2 2 5" xfId="3051" xr:uid="{6F9E7B14-9808-4220-A302-96B636DF47CF}"/>
    <cellStyle name="Normal 8 4 2 2 5 2" xfId="5280" xr:uid="{F690CE4C-CDF0-412F-BE0F-20A573275804}"/>
    <cellStyle name="Normal 8 4 2 2 5 2 2" xfId="9498" xr:uid="{ACDE59B6-D3BB-4C85-BFB5-AEC5AAA1721F}"/>
    <cellStyle name="Normal 8 4 2 2 5 3" xfId="7353" xr:uid="{F2CBCE33-FEAA-46E9-A02C-2A971F677535}"/>
    <cellStyle name="Normal 8 4 2 2 6" xfId="3487" xr:uid="{2809DD7E-086D-400D-B3B9-DD17F7DA102A}"/>
    <cellStyle name="Normal 8 4 2 2 6 2" xfId="7766" xr:uid="{5CB3B839-6643-467C-A913-D37A32A39C8C}"/>
    <cellStyle name="Normal 8 4 2 2 7" xfId="5701" xr:uid="{3306BED5-E1CC-47CA-82FF-27349F564DC5}"/>
    <cellStyle name="Normal 8 4 2 2 8" xfId="1397" xr:uid="{D716D20E-30A5-4CD6-94CE-C9B61088E6C7}"/>
    <cellStyle name="Normal 8 4 2 3" xfId="979" xr:uid="{00000000-0005-0000-0000-000090030000}"/>
    <cellStyle name="Normal 8 4 2 3 2" xfId="4040" xr:uid="{E05694F9-63B9-4456-A94F-C68C711404C1}"/>
    <cellStyle name="Normal 8 4 2 3 2 2" xfId="8258" xr:uid="{60C5D515-7002-4F2E-8EB8-FD5525AF4E92}"/>
    <cellStyle name="Normal 8 4 2 3 3" xfId="6113" xr:uid="{973B6C8A-ACD6-4544-9BDB-434545A19E9A}"/>
    <cellStyle name="Normal 8 4 2 3 4" xfId="1811" xr:uid="{DD290440-19D3-4136-92EF-0C33A571B15A}"/>
    <cellStyle name="Normal 8 4 2 4" xfId="2224" xr:uid="{51BD0A52-7764-4A2D-98D3-1D94E655A396}"/>
    <cellStyle name="Normal 8 4 2 4 2" xfId="4453" xr:uid="{7879CACF-E569-48BA-ABFF-31A18AC10D3B}"/>
    <cellStyle name="Normal 8 4 2 4 2 2" xfId="8671" xr:uid="{B6F03B1A-55D7-460D-BAA7-B9FE3E942C6C}"/>
    <cellStyle name="Normal 8 4 2 4 3" xfId="6526" xr:uid="{596E3E8E-B2C0-4887-B3B5-22611E08D7E6}"/>
    <cellStyle name="Normal 8 4 2 5" xfId="2637" xr:uid="{67A51F26-95C7-41F8-B1BF-1BB305868C4C}"/>
    <cellStyle name="Normal 8 4 2 5 2" xfId="4866" xr:uid="{3C5A21CF-2F30-40CF-B7B2-654E7F3A146A}"/>
    <cellStyle name="Normal 8 4 2 5 2 2" xfId="9084" xr:uid="{DFFF4B68-FEAA-4968-B683-F264BCB9F273}"/>
    <cellStyle name="Normal 8 4 2 5 3" xfId="6939" xr:uid="{3D2D7B37-8820-4D9C-9812-E5C8B7B7D301}"/>
    <cellStyle name="Normal 8 4 2 6" xfId="3050" xr:uid="{93831FAA-9FCC-460D-AFFC-E4431B7E358C}"/>
    <cellStyle name="Normal 8 4 2 6 2" xfId="5279" xr:uid="{A099AED7-E696-4150-916D-1B6F23A57CDD}"/>
    <cellStyle name="Normal 8 4 2 6 2 2" xfId="9497" xr:uid="{BBA5BC57-81F3-473E-9E31-BB00A7AFDB15}"/>
    <cellStyle name="Normal 8 4 2 6 3" xfId="7352" xr:uid="{0AD18024-781E-4623-8089-D9A20680B0A9}"/>
    <cellStyle name="Normal 8 4 2 7" xfId="3486" xr:uid="{F7EF1E3E-10F8-4437-BEBA-F1574FD9BC73}"/>
    <cellStyle name="Normal 8 4 2 7 2" xfId="7765" xr:uid="{9DB6C2E5-5E26-46DB-B2FE-48A98BD113C0}"/>
    <cellStyle name="Normal 8 4 2 8" xfId="5700" xr:uid="{D95A5AA0-E87A-4EC1-B144-7927D310F638}"/>
    <cellStyle name="Normal 8 4 2 9" xfId="1396" xr:uid="{9340F281-B7F4-464C-9199-6F18B4F78E3B}"/>
    <cellStyle name="Normal 8 4 3" xfId="509" xr:uid="{00000000-0005-0000-0000-000091030000}"/>
    <cellStyle name="Normal 8 4 3 2" xfId="981" xr:uid="{00000000-0005-0000-0000-000092030000}"/>
    <cellStyle name="Normal 8 4 3 2 2" xfId="4042" xr:uid="{AC164134-CDA5-4F33-913B-37C54EA92278}"/>
    <cellStyle name="Normal 8 4 3 2 2 2" xfId="8260" xr:uid="{1563DCC8-F70F-4BB7-BD6D-F7FC2265867B}"/>
    <cellStyle name="Normal 8 4 3 2 3" xfId="6115" xr:uid="{AB6D99CC-3C2E-4BFE-92D3-760859380637}"/>
    <cellStyle name="Normal 8 4 3 2 4" xfId="1813" xr:uid="{0C7BF7BE-A059-41F1-AB55-292FCC6F18DD}"/>
    <cellStyle name="Normal 8 4 3 3" xfId="2226" xr:uid="{4C5D14A9-329D-4C64-956D-98E55E784F6C}"/>
    <cellStyle name="Normal 8 4 3 3 2" xfId="4455" xr:uid="{E6A01928-3C35-4EB8-AB92-4C0BB0AF1AB3}"/>
    <cellStyle name="Normal 8 4 3 3 2 2" xfId="8673" xr:uid="{B8E0592F-3FA7-4CF4-A4AC-775C58A4D536}"/>
    <cellStyle name="Normal 8 4 3 3 3" xfId="6528" xr:uid="{858585D7-C6C3-4E42-8EDC-F2BD575942F8}"/>
    <cellStyle name="Normal 8 4 3 4" xfId="2639" xr:uid="{C7AA949D-A4F5-49AC-B46D-A60FB4CA7AA8}"/>
    <cellStyle name="Normal 8 4 3 4 2" xfId="4868" xr:uid="{2426DFC1-0815-474E-B39B-CC65D67AFD22}"/>
    <cellStyle name="Normal 8 4 3 4 2 2" xfId="9086" xr:uid="{BD59E527-8E36-44D6-91B1-CDA168539DA4}"/>
    <cellStyle name="Normal 8 4 3 4 3" xfId="6941" xr:uid="{D42A955F-F919-4CBA-BDED-7DECC67B611E}"/>
    <cellStyle name="Normal 8 4 3 5" xfId="3052" xr:uid="{88EA3D21-F53A-4202-96AD-45E169D973AC}"/>
    <cellStyle name="Normal 8 4 3 5 2" xfId="5281" xr:uid="{1F96A944-A291-4466-8191-DF1BDDAB147F}"/>
    <cellStyle name="Normal 8 4 3 5 2 2" xfId="9499" xr:uid="{F1405423-FEDD-4EBD-A198-02A87FCD536A}"/>
    <cellStyle name="Normal 8 4 3 5 3" xfId="7354" xr:uid="{4396A823-31BD-4B2F-993C-B0B3416A5D1D}"/>
    <cellStyle name="Normal 8 4 3 6" xfId="3488" xr:uid="{313747BE-FBEE-4D00-B697-31EE50865559}"/>
    <cellStyle name="Normal 8 4 3 6 2" xfId="7767" xr:uid="{C2D955AA-69AC-4983-8931-0F6751208969}"/>
    <cellStyle name="Normal 8 4 3 7" xfId="5702" xr:uid="{A7275E7A-DCA0-42C7-B637-596B87909F57}"/>
    <cellStyle name="Normal 8 4 3 8" xfId="1398" xr:uid="{9AB4A2B8-CD40-4198-8461-12B2BF63968C}"/>
    <cellStyle name="Normal 8 4 4" xfId="978" xr:uid="{00000000-0005-0000-0000-000093030000}"/>
    <cellStyle name="Normal 8 4 4 2" xfId="4039" xr:uid="{17FF68A2-D3BA-4C6C-9ECD-2452CD75B992}"/>
    <cellStyle name="Normal 8 4 4 2 2" xfId="8257" xr:uid="{12DA754D-4EDA-440E-A653-949AEA7149D0}"/>
    <cellStyle name="Normal 8 4 4 3" xfId="6112" xr:uid="{0DE1C052-EB1D-4835-A3E7-1FFBCF5C30EA}"/>
    <cellStyle name="Normal 8 4 4 4" xfId="1810" xr:uid="{729E1B29-D58A-4052-81C3-F0D52B88F642}"/>
    <cellStyle name="Normal 8 4 5" xfId="2223" xr:uid="{EF9C1255-BB3A-4068-B9B0-C5A41AB8594C}"/>
    <cellStyle name="Normal 8 4 5 2" xfId="4452" xr:uid="{0AEF2BF6-94DA-460A-B04B-071604D87CD1}"/>
    <cellStyle name="Normal 8 4 5 2 2" xfId="8670" xr:uid="{22D2242B-734A-43D6-B6E9-33CCCE4E6F5D}"/>
    <cellStyle name="Normal 8 4 5 3" xfId="6525" xr:uid="{A2529E18-1A71-4123-9FFF-9B41E3A7495E}"/>
    <cellStyle name="Normal 8 4 6" xfId="2636" xr:uid="{29E490A8-BBB2-4323-AB83-03DC87DA86E5}"/>
    <cellStyle name="Normal 8 4 6 2" xfId="4865" xr:uid="{64877D97-D107-408B-8655-BBE97530CC9E}"/>
    <cellStyle name="Normal 8 4 6 2 2" xfId="9083" xr:uid="{79F2EBDF-1813-4D45-8FC6-B0DD8CA5C512}"/>
    <cellStyle name="Normal 8 4 6 3" xfId="6938" xr:uid="{0EF57166-4030-4EF9-B32C-5F4CCB64CE13}"/>
    <cellStyle name="Normal 8 4 7" xfId="3049" xr:uid="{632B50F9-03E4-43D7-9175-B5452534F6F8}"/>
    <cellStyle name="Normal 8 4 7 2" xfId="5278" xr:uid="{0EF73042-E5CC-4EEC-BE38-D4BC6301DA53}"/>
    <cellStyle name="Normal 8 4 7 2 2" xfId="9496" xr:uid="{02C3557B-B192-4E79-8ADD-67CBA367BEC3}"/>
    <cellStyle name="Normal 8 4 7 3" xfId="7351" xr:uid="{D509CD60-57C8-46C5-8747-E58DC7B6CB9C}"/>
    <cellStyle name="Normal 8 4 8" xfId="3485" xr:uid="{4C3FBE09-27FF-43E2-AE44-2460E1E06837}"/>
    <cellStyle name="Normal 8 4 8 2" xfId="7764" xr:uid="{8029BCDA-C767-4D77-856D-E8FB55D855CC}"/>
    <cellStyle name="Normal 8 4 9" xfId="5699" xr:uid="{8B6AD2D8-9BE2-4691-B3C9-085A462AF3D0}"/>
    <cellStyle name="Normal 8 5" xfId="510" xr:uid="{00000000-0005-0000-0000-000094030000}"/>
    <cellStyle name="Normal 8 5 2" xfId="511" xr:uid="{00000000-0005-0000-0000-000095030000}"/>
    <cellStyle name="Normal 8 5 2 2" xfId="983" xr:uid="{00000000-0005-0000-0000-000096030000}"/>
    <cellStyle name="Normal 8 5 2 2 2" xfId="4044" xr:uid="{505C2D9E-E9B2-4A8F-93D7-A7CA0A1AA338}"/>
    <cellStyle name="Normal 8 5 2 2 2 2" xfId="8262" xr:uid="{57DB58EF-3383-4FAC-BEFD-18A3DAA09D5F}"/>
    <cellStyle name="Normal 8 5 2 2 3" xfId="6117" xr:uid="{94A6602B-94D2-43DB-8483-5C274116CA10}"/>
    <cellStyle name="Normal 8 5 2 2 4" xfId="1815" xr:uid="{F36ACE3F-0104-4BF5-9A68-0080FBBA676A}"/>
    <cellStyle name="Normal 8 5 2 3" xfId="2228" xr:uid="{9C661491-C1A1-49F9-AFE3-40C76DB71FE9}"/>
    <cellStyle name="Normal 8 5 2 3 2" xfId="4457" xr:uid="{5EF81E61-9C9A-4C07-AE27-EBA76B94BBAF}"/>
    <cellStyle name="Normal 8 5 2 3 2 2" xfId="8675" xr:uid="{A16D4928-4DFA-4977-AE49-7CB1803FA19C}"/>
    <cellStyle name="Normal 8 5 2 3 3" xfId="6530" xr:uid="{7DBAD65F-A639-4ECB-B6CE-5BE1CC45339B}"/>
    <cellStyle name="Normal 8 5 2 4" xfId="2641" xr:uid="{8AABED3A-B5ED-4B28-BF2B-BD3DA8037767}"/>
    <cellStyle name="Normal 8 5 2 4 2" xfId="4870" xr:uid="{AC34D862-3C68-41C5-8E66-040458CB6EF5}"/>
    <cellStyle name="Normal 8 5 2 4 2 2" xfId="9088" xr:uid="{C11A0EF9-9868-469D-AE22-5ACB80D50695}"/>
    <cellStyle name="Normal 8 5 2 4 3" xfId="6943" xr:uid="{248E15C8-68C7-4F38-9266-D633CEF3BF84}"/>
    <cellStyle name="Normal 8 5 2 5" xfId="3054" xr:uid="{48F03736-0C0E-41EA-882C-BAEA2AF799A9}"/>
    <cellStyle name="Normal 8 5 2 5 2" xfId="5283" xr:uid="{22BF125F-44B8-4131-9E0E-BB3AC1CEA9EE}"/>
    <cellStyle name="Normal 8 5 2 5 2 2" xfId="9501" xr:uid="{8E8B1EC8-DF0E-44AD-B501-32DA6E2F74BC}"/>
    <cellStyle name="Normal 8 5 2 5 3" xfId="7356" xr:uid="{4C8F576F-BE27-465F-B705-6EEE25472F30}"/>
    <cellStyle name="Normal 8 5 2 6" xfId="3490" xr:uid="{A9E2CD5D-F5AD-4743-91CC-2B6B0930BAFF}"/>
    <cellStyle name="Normal 8 5 2 6 2" xfId="7769" xr:uid="{56C20D1F-111C-4C4D-9B99-4BE270E351D7}"/>
    <cellStyle name="Normal 8 5 2 7" xfId="5704" xr:uid="{E134D454-9DF1-442C-BE46-29C82D7FF41D}"/>
    <cellStyle name="Normal 8 5 2 8" xfId="1400" xr:uid="{87C44162-1205-4842-8C55-DA295FF95F40}"/>
    <cellStyle name="Normal 8 5 3" xfId="982" xr:uid="{00000000-0005-0000-0000-000097030000}"/>
    <cellStyle name="Normal 8 5 3 2" xfId="4043" xr:uid="{273B02D9-90A6-4EBC-A691-AFB717514A6F}"/>
    <cellStyle name="Normal 8 5 3 2 2" xfId="8261" xr:uid="{D15B593E-8518-4542-8C8C-F2FB651FF3EE}"/>
    <cellStyle name="Normal 8 5 3 3" xfId="6116" xr:uid="{2329BFF8-84A0-4138-97E6-02AC348BA500}"/>
    <cellStyle name="Normal 8 5 3 4" xfId="1814" xr:uid="{2E3B9478-D66B-4581-918A-876D2DF8E082}"/>
    <cellStyle name="Normal 8 5 4" xfId="2227" xr:uid="{E17FCA8A-BC78-47A8-8A59-0993E17A08EB}"/>
    <cellStyle name="Normal 8 5 4 2" xfId="4456" xr:uid="{A9D97552-4A45-46BD-BD8D-1947D17468A1}"/>
    <cellStyle name="Normal 8 5 4 2 2" xfId="8674" xr:uid="{E7142C10-BB66-4450-B2AC-E7A315C10174}"/>
    <cellStyle name="Normal 8 5 4 3" xfId="6529" xr:uid="{DB632E01-F4B3-42FA-812A-96B8902E626E}"/>
    <cellStyle name="Normal 8 5 5" xfId="2640" xr:uid="{D3E75077-1BD5-4A07-BDE5-2DAC55EDC604}"/>
    <cellStyle name="Normal 8 5 5 2" xfId="4869" xr:uid="{CB20A462-2FC7-4E16-BAAD-62E475BCDD23}"/>
    <cellStyle name="Normal 8 5 5 2 2" xfId="9087" xr:uid="{9F354487-0C63-4A24-ADBC-676CEA2EFABB}"/>
    <cellStyle name="Normal 8 5 5 3" xfId="6942" xr:uid="{7B979C29-2A98-4968-8646-C3D73A00DE2A}"/>
    <cellStyle name="Normal 8 5 6" xfId="3053" xr:uid="{BAF447E6-C152-4156-8F82-01FB811D95A1}"/>
    <cellStyle name="Normal 8 5 6 2" xfId="5282" xr:uid="{E1B64C26-622F-4A8C-AEE5-E2B1F4CAE090}"/>
    <cellStyle name="Normal 8 5 6 2 2" xfId="9500" xr:uid="{560D94C7-6E94-4BDD-AC5E-5C0F648741BF}"/>
    <cellStyle name="Normal 8 5 6 3" xfId="7355" xr:uid="{9FD6BE78-7291-4ADD-99E2-90990FD8F91D}"/>
    <cellStyle name="Normal 8 5 7" xfId="3489" xr:uid="{355E522E-F8D8-49EB-8113-46F30E2025A2}"/>
    <cellStyle name="Normal 8 5 7 2" xfId="7768" xr:uid="{A8813154-A6C5-46DB-A781-143AD9311495}"/>
    <cellStyle name="Normal 8 5 8" xfId="5703" xr:uid="{3DE06FD3-8C30-4F1D-95A3-74436F054417}"/>
    <cellStyle name="Normal 8 5 9" xfId="1399" xr:uid="{EA45BD61-39F2-44E9-BB3B-85A4C753087B}"/>
    <cellStyle name="Normal 8 6" xfId="512" xr:uid="{00000000-0005-0000-0000-000098030000}"/>
    <cellStyle name="Normal 8 6 2" xfId="984" xr:uid="{00000000-0005-0000-0000-000099030000}"/>
    <cellStyle name="Normal 8 6 2 2" xfId="4045" xr:uid="{F4D4A4E8-82DD-469C-9C76-ECC260D1F66D}"/>
    <cellStyle name="Normal 8 6 2 2 2" xfId="8263" xr:uid="{A29D8046-279B-49F8-8D17-023F5E45D9F4}"/>
    <cellStyle name="Normal 8 6 2 3" xfId="6118" xr:uid="{B1136504-FA68-49B8-8FB1-AB10DA23E507}"/>
    <cellStyle name="Normal 8 6 2 4" xfId="1816" xr:uid="{314A577F-C8A1-469E-9810-43173F982384}"/>
    <cellStyle name="Normal 8 6 3" xfId="2229" xr:uid="{51B7AC12-6305-4EDE-8C71-CDE72D1DFEBD}"/>
    <cellStyle name="Normal 8 6 3 2" xfId="4458" xr:uid="{E5587289-7411-401E-A7BE-BBC36289C1F6}"/>
    <cellStyle name="Normal 8 6 3 2 2" xfId="8676" xr:uid="{A6565A63-1204-4034-98CE-7998333C318E}"/>
    <cellStyle name="Normal 8 6 3 3" xfId="6531" xr:uid="{F904B817-3784-4553-AE3E-33319CF2461D}"/>
    <cellStyle name="Normal 8 6 4" xfId="2642" xr:uid="{340269CD-F144-43F3-8A01-48BB1F3D0A22}"/>
    <cellStyle name="Normal 8 6 4 2" xfId="4871" xr:uid="{D15FC2AF-5BDF-495E-8107-E1EEB1BAEC80}"/>
    <cellStyle name="Normal 8 6 4 2 2" xfId="9089" xr:uid="{473F115E-255C-4377-B8F8-84DBB4609299}"/>
    <cellStyle name="Normal 8 6 4 3" xfId="6944" xr:uid="{4F0BC89C-DEEE-4448-B372-3BD9FCC0E256}"/>
    <cellStyle name="Normal 8 6 5" xfId="3055" xr:uid="{F7243F85-AC51-41A7-B2FD-C0FEBA3AD3B7}"/>
    <cellStyle name="Normal 8 6 5 2" xfId="5284" xr:uid="{27D4B86D-69E2-4D68-A0BE-FD385D94A996}"/>
    <cellStyle name="Normal 8 6 5 2 2" xfId="9502" xr:uid="{B5F2EE35-D41C-46BE-B110-9D768DA53D68}"/>
    <cellStyle name="Normal 8 6 5 3" xfId="7357" xr:uid="{CD65665B-B6AB-480F-8418-402BC9EBBC49}"/>
    <cellStyle name="Normal 8 6 6" xfId="3491" xr:uid="{004CC745-B7E4-4E15-9A04-39F989624F9B}"/>
    <cellStyle name="Normal 8 6 6 2" xfId="7770" xr:uid="{19C650C0-17C4-4588-9959-F5B6A50A4ECB}"/>
    <cellStyle name="Normal 8 6 7" xfId="5705" xr:uid="{A300D6D1-1AF7-43D6-AC90-99F628B34E23}"/>
    <cellStyle name="Normal 8 6 8" xfId="1401" xr:uid="{CF87B81A-A550-44E5-A995-59403E5E3444}"/>
    <cellStyle name="Normal 8 7" xfId="953" xr:uid="{00000000-0005-0000-0000-00009A030000}"/>
    <cellStyle name="Normal 8 7 2" xfId="4014" xr:uid="{E08C5EA5-F3F6-467A-9692-5956B3C7CA43}"/>
    <cellStyle name="Normal 8 7 2 2" xfId="8232" xr:uid="{08E02922-B53D-4FA4-926F-505CCA887CA6}"/>
    <cellStyle name="Normal 8 7 3" xfId="6087" xr:uid="{E9B4E613-E126-47B8-A912-85ED40E0FE46}"/>
    <cellStyle name="Normal 8 7 4" xfId="1785" xr:uid="{FA331CCD-C9E0-454D-BFDC-23355CAF5671}"/>
    <cellStyle name="Normal 8 8" xfId="2198" xr:uid="{C8C3D2F1-98E6-4A4B-BD1E-A3F904601C0E}"/>
    <cellStyle name="Normal 8 8 2" xfId="4427" xr:uid="{F0BD1045-BCF1-4DF7-9AE8-731A4468F6E7}"/>
    <cellStyle name="Normal 8 8 2 2" xfId="8645" xr:uid="{B4010A57-6629-4653-9A4D-2490AEB50DCE}"/>
    <cellStyle name="Normal 8 8 3" xfId="6500" xr:uid="{2421D43E-34DD-4FBC-A299-8582509FF72D}"/>
    <cellStyle name="Normal 8 9" xfId="2611" xr:uid="{AB244DE3-6AFD-462D-88A7-BAC257ED06C3}"/>
    <cellStyle name="Normal 8 9 2" xfId="4840" xr:uid="{8FCB1361-2AB8-4366-A093-F1973F2151F7}"/>
    <cellStyle name="Normal 8 9 2 2" xfId="9058" xr:uid="{CFE69FB0-D32F-42C1-AA5F-9743C12394FB}"/>
    <cellStyle name="Normal 8 9 3" xfId="6913" xr:uid="{DDFC7667-DB4A-4B69-8AB2-E3ACD8C39B9C}"/>
    <cellStyle name="Normal 9" xfId="513" xr:uid="{00000000-0005-0000-0000-00009B030000}"/>
    <cellStyle name="Normal 9 2" xfId="514" xr:uid="{00000000-0005-0000-0000-00009C030000}"/>
    <cellStyle name="Normal 9 2 10" xfId="3492" xr:uid="{B097AA6F-0317-4796-BD08-C09625F8A7FC}"/>
    <cellStyle name="Normal 9 2 10 2" xfId="7771" xr:uid="{4A76E01F-287A-4AE0-8124-9A242710DA2D}"/>
    <cellStyle name="Normal 9 2 11" xfId="5706" xr:uid="{478DD466-36DE-4B15-B485-30CA192D4821}"/>
    <cellStyle name="Normal 9 2 12" xfId="1402" xr:uid="{C3817AB5-F309-4605-B008-7BB23ABC7F79}"/>
    <cellStyle name="Normal 9 2 2" xfId="515" xr:uid="{00000000-0005-0000-0000-00009D030000}"/>
    <cellStyle name="Normal 9 2 2 10" xfId="5707" xr:uid="{022CAB68-0EB1-496B-8F95-C3F2445689B8}"/>
    <cellStyle name="Normal 9 2 2 11" xfId="1403" xr:uid="{F06DD5CC-9733-4780-9E27-F8541B8AD8B0}"/>
    <cellStyle name="Normal 9 2 2 2" xfId="516" xr:uid="{00000000-0005-0000-0000-00009E030000}"/>
    <cellStyle name="Normal 9 2 2 2 10" xfId="1404" xr:uid="{E82D32AC-646D-49D1-9C2B-96CB1F3886F2}"/>
    <cellStyle name="Normal 9 2 2 2 2" xfId="517" xr:uid="{00000000-0005-0000-0000-00009F030000}"/>
    <cellStyle name="Normal 9 2 2 2 2 2" xfId="518" xr:uid="{00000000-0005-0000-0000-0000A0030000}"/>
    <cellStyle name="Normal 9 2 2 2 2 2 2" xfId="990" xr:uid="{00000000-0005-0000-0000-0000A1030000}"/>
    <cellStyle name="Normal 9 2 2 2 2 2 2 2" xfId="4050" xr:uid="{0BB3D91C-A568-46AF-833A-3FB2F5FD0331}"/>
    <cellStyle name="Normal 9 2 2 2 2 2 2 2 2" xfId="8268" xr:uid="{F0B9A257-5A21-427D-BC59-D05E7F0E73F5}"/>
    <cellStyle name="Normal 9 2 2 2 2 2 2 3" xfId="6123" xr:uid="{5CA71C19-82BF-4E95-B688-9FFC18B6B6B7}"/>
    <cellStyle name="Normal 9 2 2 2 2 2 2 4" xfId="1821" xr:uid="{168D4FDF-EBA3-4E20-83C8-3908A1E2B708}"/>
    <cellStyle name="Normal 9 2 2 2 2 2 3" xfId="2234" xr:uid="{9B6B82C9-E4EC-4B63-B49A-C759BF7AF06F}"/>
    <cellStyle name="Normal 9 2 2 2 2 2 3 2" xfId="4463" xr:uid="{49E07A1A-42E9-4DA8-90E8-6C93BC79BAD9}"/>
    <cellStyle name="Normal 9 2 2 2 2 2 3 2 2" xfId="8681" xr:uid="{C7743BEA-9929-4710-939F-7C8A37456721}"/>
    <cellStyle name="Normal 9 2 2 2 2 2 3 3" xfId="6536" xr:uid="{807113F9-0942-4A20-94E6-5B56000A71F0}"/>
    <cellStyle name="Normal 9 2 2 2 2 2 4" xfId="2647" xr:uid="{75E110A3-BB51-4CC7-AF85-ED4420FF26A3}"/>
    <cellStyle name="Normal 9 2 2 2 2 2 4 2" xfId="4876" xr:uid="{8629AC06-2FDA-4B6B-AE1F-060E12C42E83}"/>
    <cellStyle name="Normal 9 2 2 2 2 2 4 2 2" xfId="9094" xr:uid="{93A9991C-65AB-4ADF-9748-A7512C2E68BC}"/>
    <cellStyle name="Normal 9 2 2 2 2 2 4 3" xfId="6949" xr:uid="{ECF9ECF2-E242-4C9F-8CE7-0AF20390D969}"/>
    <cellStyle name="Normal 9 2 2 2 2 2 5" xfId="3060" xr:uid="{D2E3BECB-A780-480F-91E9-C70615490278}"/>
    <cellStyle name="Normal 9 2 2 2 2 2 5 2" xfId="5289" xr:uid="{49BFF55B-414E-412D-8709-D303F41BB3AF}"/>
    <cellStyle name="Normal 9 2 2 2 2 2 5 2 2" xfId="9507" xr:uid="{AD0438CC-54DE-41E5-B400-40E0717E4AED}"/>
    <cellStyle name="Normal 9 2 2 2 2 2 5 3" xfId="7362" xr:uid="{D50AB17E-CD96-42D6-B66C-E36AD630AAF9}"/>
    <cellStyle name="Normal 9 2 2 2 2 2 6" xfId="3496" xr:uid="{FF226EB9-26A9-40CE-A995-4871A626CFA5}"/>
    <cellStyle name="Normal 9 2 2 2 2 2 6 2" xfId="7775" xr:uid="{BF4B2F57-8BFE-42C0-B24C-C5A270DBB052}"/>
    <cellStyle name="Normal 9 2 2 2 2 2 7" xfId="5710" xr:uid="{A62E90E5-54FD-4C64-B78E-A3326E7FD65B}"/>
    <cellStyle name="Normal 9 2 2 2 2 2 8" xfId="1406" xr:uid="{4C41342E-0ADB-4668-99F8-8416CBECE91C}"/>
    <cellStyle name="Normal 9 2 2 2 2 3" xfId="989" xr:uid="{00000000-0005-0000-0000-0000A2030000}"/>
    <cellStyle name="Normal 9 2 2 2 2 3 2" xfId="4049" xr:uid="{52311B3C-8688-4DD8-A4CE-C0F267A59599}"/>
    <cellStyle name="Normal 9 2 2 2 2 3 2 2" xfId="8267" xr:uid="{8C659D08-3CAC-4FBB-AE19-1C7C650F8261}"/>
    <cellStyle name="Normal 9 2 2 2 2 3 3" xfId="6122" xr:uid="{5327345B-FAF3-4736-BD33-D16AF25AB077}"/>
    <cellStyle name="Normal 9 2 2 2 2 3 4" xfId="1820" xr:uid="{0B450A56-EB61-493A-BA36-316D05CA954E}"/>
    <cellStyle name="Normal 9 2 2 2 2 4" xfId="2233" xr:uid="{223CCB11-0D7B-451D-B412-C02F0DD7E3E3}"/>
    <cellStyle name="Normal 9 2 2 2 2 4 2" xfId="4462" xr:uid="{BA6ED08E-E1F2-4C7A-B77C-5F4734C27C64}"/>
    <cellStyle name="Normal 9 2 2 2 2 4 2 2" xfId="8680" xr:uid="{C1B42F19-94FE-48AC-A71E-52E67206CD2B}"/>
    <cellStyle name="Normal 9 2 2 2 2 4 3" xfId="6535" xr:uid="{59C8657D-3AFC-4CF4-A13A-66507FB4D6D8}"/>
    <cellStyle name="Normal 9 2 2 2 2 5" xfId="2646" xr:uid="{199F1EE4-2462-47E3-AFC3-72B02B82CC3C}"/>
    <cellStyle name="Normal 9 2 2 2 2 5 2" xfId="4875" xr:uid="{5DB1723C-DB4D-4417-928C-2845FD7E2C6B}"/>
    <cellStyle name="Normal 9 2 2 2 2 5 2 2" xfId="9093" xr:uid="{EFC2314C-09E5-4DD0-808B-3579B51AC815}"/>
    <cellStyle name="Normal 9 2 2 2 2 5 3" xfId="6948" xr:uid="{AEF26953-A12B-472D-A906-9B268A04A54C}"/>
    <cellStyle name="Normal 9 2 2 2 2 6" xfId="3059" xr:uid="{F6451AF5-8D1E-4F21-85CD-4D8AFA942661}"/>
    <cellStyle name="Normal 9 2 2 2 2 6 2" xfId="5288" xr:uid="{1E8C50C2-1EC3-4FBE-86FE-ECE65742570C}"/>
    <cellStyle name="Normal 9 2 2 2 2 6 2 2" xfId="9506" xr:uid="{48AD6CD8-0E21-4DF5-AE74-9ACC7250D0B0}"/>
    <cellStyle name="Normal 9 2 2 2 2 6 3" xfId="7361" xr:uid="{3AF146A6-6C33-42DB-A40F-2C4E80983C7D}"/>
    <cellStyle name="Normal 9 2 2 2 2 7" xfId="3495" xr:uid="{093C9500-9E13-4464-96B5-A48233A38647}"/>
    <cellStyle name="Normal 9 2 2 2 2 7 2" xfId="7774" xr:uid="{272D7766-9D25-4B63-8A85-755989E5FAD2}"/>
    <cellStyle name="Normal 9 2 2 2 2 8" xfId="5709" xr:uid="{7853CBB5-B5F6-46FF-8850-0782DEC80B1F}"/>
    <cellStyle name="Normal 9 2 2 2 2 9" xfId="1405" xr:uid="{8389F716-CC1E-487F-86A8-6EE705E68944}"/>
    <cellStyle name="Normal 9 2 2 2 3" xfId="519" xr:uid="{00000000-0005-0000-0000-0000A3030000}"/>
    <cellStyle name="Normal 9 2 2 2 3 2" xfId="991" xr:uid="{00000000-0005-0000-0000-0000A4030000}"/>
    <cellStyle name="Normal 9 2 2 2 3 2 2" xfId="4051" xr:uid="{C5980D33-A6B1-4DB2-8B42-9662D70AC946}"/>
    <cellStyle name="Normal 9 2 2 2 3 2 2 2" xfId="8269" xr:uid="{879E2B87-2455-493D-8197-0A2A19075E9D}"/>
    <cellStyle name="Normal 9 2 2 2 3 2 3" xfId="6124" xr:uid="{515174C4-D423-46E3-B346-FD169AC81049}"/>
    <cellStyle name="Normal 9 2 2 2 3 2 4" xfId="1822" xr:uid="{13DC7DF2-3D39-4A41-B65A-B46FB6D645F7}"/>
    <cellStyle name="Normal 9 2 2 2 3 3" xfId="2235" xr:uid="{C946A01B-7291-4A5A-A712-4DEB26E0C9F4}"/>
    <cellStyle name="Normal 9 2 2 2 3 3 2" xfId="4464" xr:uid="{A6233B77-13CF-4EF6-8C92-73A97D098AEE}"/>
    <cellStyle name="Normal 9 2 2 2 3 3 2 2" xfId="8682" xr:uid="{BB87E8A5-9960-48E2-AEA9-4975477F4D2E}"/>
    <cellStyle name="Normal 9 2 2 2 3 3 3" xfId="6537" xr:uid="{38F724B2-DBD1-4D6E-9837-0078D527BD1A}"/>
    <cellStyle name="Normal 9 2 2 2 3 4" xfId="2648" xr:uid="{6C12EB7D-FDF0-4731-8EF8-E90D1CBCFA30}"/>
    <cellStyle name="Normal 9 2 2 2 3 4 2" xfId="4877" xr:uid="{648956AC-4D76-4229-922C-8F6E67C1DB32}"/>
    <cellStyle name="Normal 9 2 2 2 3 4 2 2" xfId="9095" xr:uid="{2191C10D-A74A-4228-AC2C-A9BA3AD73A5B}"/>
    <cellStyle name="Normal 9 2 2 2 3 4 3" xfId="6950" xr:uid="{58D05DF8-1CB5-4ECE-8A31-A7F2928BA562}"/>
    <cellStyle name="Normal 9 2 2 2 3 5" xfId="3061" xr:uid="{FF354C87-FDA7-4B31-B240-601FCE3BD7AD}"/>
    <cellStyle name="Normal 9 2 2 2 3 5 2" xfId="5290" xr:uid="{CCB4C97D-4479-43BE-9239-6B6120917C4C}"/>
    <cellStyle name="Normal 9 2 2 2 3 5 2 2" xfId="9508" xr:uid="{86B61EF8-B83E-4684-B0EF-D5DB5B78F2F6}"/>
    <cellStyle name="Normal 9 2 2 2 3 5 3" xfId="7363" xr:uid="{E58BECD1-8056-441F-9435-61796EC80A0A}"/>
    <cellStyle name="Normal 9 2 2 2 3 6" xfId="3497" xr:uid="{94FDB85F-CBB8-4324-AD7D-E9D430E7DAA8}"/>
    <cellStyle name="Normal 9 2 2 2 3 6 2" xfId="7776" xr:uid="{687E1278-776F-44FD-8388-A269BE973C97}"/>
    <cellStyle name="Normal 9 2 2 2 3 7" xfId="5711" xr:uid="{439EBB49-A750-46FE-A7F1-36FED580B64D}"/>
    <cellStyle name="Normal 9 2 2 2 3 8" xfId="1407" xr:uid="{E6CF18CA-62CB-4A9F-BABC-0B6DD32F8BF9}"/>
    <cellStyle name="Normal 9 2 2 2 4" xfId="988" xr:uid="{00000000-0005-0000-0000-0000A5030000}"/>
    <cellStyle name="Normal 9 2 2 2 4 2" xfId="4048" xr:uid="{E1F039C3-1685-45F6-929D-3951A0540EA9}"/>
    <cellStyle name="Normal 9 2 2 2 4 2 2" xfId="8266" xr:uid="{08BC6CA2-E898-44E3-8922-878352ABBFBB}"/>
    <cellStyle name="Normal 9 2 2 2 4 3" xfId="6121" xr:uid="{4B09B489-7396-4B49-ADA2-8DA4A57E371F}"/>
    <cellStyle name="Normal 9 2 2 2 4 4" xfId="1819" xr:uid="{CCF8FA87-F7CD-42D6-91B8-D1A81E7CAD3A}"/>
    <cellStyle name="Normal 9 2 2 2 5" xfId="2232" xr:uid="{5BD541C4-12B3-4F55-A0BF-4F5A351F449C}"/>
    <cellStyle name="Normal 9 2 2 2 5 2" xfId="4461" xr:uid="{D90C7063-827B-482E-9C30-D5CE96F88668}"/>
    <cellStyle name="Normal 9 2 2 2 5 2 2" xfId="8679" xr:uid="{DEA3442A-3774-4319-8D4F-E181191B8706}"/>
    <cellStyle name="Normal 9 2 2 2 5 3" xfId="6534" xr:uid="{5E9EC3AF-D087-48AC-BCED-50C2B6BFE1AB}"/>
    <cellStyle name="Normal 9 2 2 2 6" xfId="2645" xr:uid="{50BD7FA9-13D7-4860-9DC4-AF02BB68C327}"/>
    <cellStyle name="Normal 9 2 2 2 6 2" xfId="4874" xr:uid="{31C0C7C1-8DF8-4DDB-B164-97570E47EF43}"/>
    <cellStyle name="Normal 9 2 2 2 6 2 2" xfId="9092" xr:uid="{902C6E96-1E52-4056-8049-B516EB64C634}"/>
    <cellStyle name="Normal 9 2 2 2 6 3" xfId="6947" xr:uid="{3EC7E3E3-A8F6-41D8-9940-3F7EFA1AD8B9}"/>
    <cellStyle name="Normal 9 2 2 2 7" xfId="3058" xr:uid="{C74D1D6C-ECA3-456E-AD73-7E1906C230EB}"/>
    <cellStyle name="Normal 9 2 2 2 7 2" xfId="5287" xr:uid="{623918A4-88F4-431B-B55C-47CB219A09B7}"/>
    <cellStyle name="Normal 9 2 2 2 7 2 2" xfId="9505" xr:uid="{7BA8ED2D-68D6-416B-95BC-BFC66B25E2D9}"/>
    <cellStyle name="Normal 9 2 2 2 7 3" xfId="7360" xr:uid="{C9E5D5F8-A9D6-4900-AB0C-51AE78B1CC08}"/>
    <cellStyle name="Normal 9 2 2 2 8" xfId="3494" xr:uid="{4E6DE80F-4065-4D8D-8C02-A7CA99BC9520}"/>
    <cellStyle name="Normal 9 2 2 2 8 2" xfId="7773" xr:uid="{BB89A185-AB0B-4941-AD7C-E811C7C40D1A}"/>
    <cellStyle name="Normal 9 2 2 2 9" xfId="5708" xr:uid="{3B5ECA91-2B61-403B-8D0D-F35631790E9C}"/>
    <cellStyle name="Normal 9 2 2 3" xfId="520" xr:uid="{00000000-0005-0000-0000-0000A6030000}"/>
    <cellStyle name="Normal 9 2 2 3 2" xfId="521" xr:uid="{00000000-0005-0000-0000-0000A7030000}"/>
    <cellStyle name="Normal 9 2 2 3 2 2" xfId="993" xr:uid="{00000000-0005-0000-0000-0000A8030000}"/>
    <cellStyle name="Normal 9 2 2 3 2 2 2" xfId="4053" xr:uid="{AFD22750-720A-4271-9907-6F5800B2B18F}"/>
    <cellStyle name="Normal 9 2 2 3 2 2 2 2" xfId="8271" xr:uid="{CAAFD6D1-5A46-4F79-82A2-7C5EA4FA087B}"/>
    <cellStyle name="Normal 9 2 2 3 2 2 3" xfId="6126" xr:uid="{623B8E08-F8D0-4437-B0B6-74CDF9B0D0FE}"/>
    <cellStyle name="Normal 9 2 2 3 2 2 4" xfId="1824" xr:uid="{B7E80632-3E23-4B9A-AB6A-9A2E421B0F7D}"/>
    <cellStyle name="Normal 9 2 2 3 2 3" xfId="2237" xr:uid="{8D067546-BDFD-4AD7-8DC8-D5FCCC799186}"/>
    <cellStyle name="Normal 9 2 2 3 2 3 2" xfId="4466" xr:uid="{274F959D-45E0-4AAF-8CBA-808A543C40E6}"/>
    <cellStyle name="Normal 9 2 2 3 2 3 2 2" xfId="8684" xr:uid="{D313BC59-6DBA-4F75-9198-96A263077584}"/>
    <cellStyle name="Normal 9 2 2 3 2 3 3" xfId="6539" xr:uid="{F067D101-92CE-49D1-80C1-327A426734E9}"/>
    <cellStyle name="Normal 9 2 2 3 2 4" xfId="2650" xr:uid="{D15CF962-07A5-4A87-8A53-1592B562DFB5}"/>
    <cellStyle name="Normal 9 2 2 3 2 4 2" xfId="4879" xr:uid="{5E3E2A79-938A-4232-9E17-D8210FB7C3C5}"/>
    <cellStyle name="Normal 9 2 2 3 2 4 2 2" xfId="9097" xr:uid="{CED4B66C-1A7E-4F48-AC1B-9B6E74BBD562}"/>
    <cellStyle name="Normal 9 2 2 3 2 4 3" xfId="6952" xr:uid="{9CB37222-F74A-4DCF-B795-F6FE4F993B6A}"/>
    <cellStyle name="Normal 9 2 2 3 2 5" xfId="3063" xr:uid="{5E9817B4-06CD-476B-B012-6C7C84D1A3E9}"/>
    <cellStyle name="Normal 9 2 2 3 2 5 2" xfId="5292" xr:uid="{C8998FB3-11F9-428A-A34A-B846877A5AB8}"/>
    <cellStyle name="Normal 9 2 2 3 2 5 2 2" xfId="9510" xr:uid="{0314CD9E-1338-439F-80F3-D6F8DE138F85}"/>
    <cellStyle name="Normal 9 2 2 3 2 5 3" xfId="7365" xr:uid="{2CD58E34-2F12-44D2-970C-9F7F59EBCD55}"/>
    <cellStyle name="Normal 9 2 2 3 2 6" xfId="3499" xr:uid="{993C74BB-6482-48C8-B630-BBF014556433}"/>
    <cellStyle name="Normal 9 2 2 3 2 6 2" xfId="7778" xr:uid="{4C4C7A0A-A8B3-45DE-B5EF-1FDFE04BF0A5}"/>
    <cellStyle name="Normal 9 2 2 3 2 7" xfId="5713" xr:uid="{2F0482C5-32FC-4376-BEA6-F3AF0981C024}"/>
    <cellStyle name="Normal 9 2 2 3 2 8" xfId="1409" xr:uid="{A5C997EB-4469-40D1-BC9D-8D399B06CB4E}"/>
    <cellStyle name="Normal 9 2 2 3 3" xfId="992" xr:uid="{00000000-0005-0000-0000-0000A9030000}"/>
    <cellStyle name="Normal 9 2 2 3 3 2" xfId="4052" xr:uid="{13A1F784-A418-40C8-BBC7-E3A523E0D5CA}"/>
    <cellStyle name="Normal 9 2 2 3 3 2 2" xfId="8270" xr:uid="{610E4428-0756-4EA0-B014-DF24884B77EE}"/>
    <cellStyle name="Normal 9 2 2 3 3 3" xfId="6125" xr:uid="{32D86073-F164-4E8E-A6BA-229DA7F62AF7}"/>
    <cellStyle name="Normal 9 2 2 3 3 4" xfId="1823" xr:uid="{74D420BC-97FF-477D-AB53-B2AEF3570615}"/>
    <cellStyle name="Normal 9 2 2 3 4" xfId="2236" xr:uid="{2CF74A67-DBDF-4E68-A0B7-876E1F30BF5D}"/>
    <cellStyle name="Normal 9 2 2 3 4 2" xfId="4465" xr:uid="{01ABF4F5-1A7B-45DC-B8F8-980C77C79DCC}"/>
    <cellStyle name="Normal 9 2 2 3 4 2 2" xfId="8683" xr:uid="{9510EDA2-92B1-4500-9CCE-D35C5472D864}"/>
    <cellStyle name="Normal 9 2 2 3 4 3" xfId="6538" xr:uid="{5839730E-2FC8-4E74-A832-20A8B10C58F9}"/>
    <cellStyle name="Normal 9 2 2 3 5" xfId="2649" xr:uid="{FFCB8642-CDDB-4F63-A909-810C6D2EB92F}"/>
    <cellStyle name="Normal 9 2 2 3 5 2" xfId="4878" xr:uid="{8645C398-AA4E-4691-87F9-A54AD88FE21D}"/>
    <cellStyle name="Normal 9 2 2 3 5 2 2" xfId="9096" xr:uid="{D85B8F88-4C7F-480F-A8D2-8105567DB2E6}"/>
    <cellStyle name="Normal 9 2 2 3 5 3" xfId="6951" xr:uid="{F8C0429F-83C5-44A9-AF8B-37174B0F621F}"/>
    <cellStyle name="Normal 9 2 2 3 6" xfId="3062" xr:uid="{6FDDF6CA-B134-4BC0-8247-E722B1F782E2}"/>
    <cellStyle name="Normal 9 2 2 3 6 2" xfId="5291" xr:uid="{751AE15C-86FF-470E-BAC7-1526D7C52D5E}"/>
    <cellStyle name="Normal 9 2 2 3 6 2 2" xfId="9509" xr:uid="{5A1DFE26-4B83-4983-AEF3-87BCA6506F2D}"/>
    <cellStyle name="Normal 9 2 2 3 6 3" xfId="7364" xr:uid="{CBC70D03-EDEF-49BF-9F99-EEA96BAE2A94}"/>
    <cellStyle name="Normal 9 2 2 3 7" xfId="3498" xr:uid="{6F0EF059-64CF-4E47-BCA9-24105062F80A}"/>
    <cellStyle name="Normal 9 2 2 3 7 2" xfId="7777" xr:uid="{EAD5A6D4-156F-48DA-896B-9D8407FC98CD}"/>
    <cellStyle name="Normal 9 2 2 3 8" xfId="5712" xr:uid="{39613733-935D-42B0-82AD-E79BF77CD133}"/>
    <cellStyle name="Normal 9 2 2 3 9" xfId="1408" xr:uid="{30B51A39-B787-40BB-9396-7B108B2D1DF7}"/>
    <cellStyle name="Normal 9 2 2 4" xfId="522" xr:uid="{00000000-0005-0000-0000-0000AA030000}"/>
    <cellStyle name="Normal 9 2 2 4 2" xfId="994" xr:uid="{00000000-0005-0000-0000-0000AB030000}"/>
    <cellStyle name="Normal 9 2 2 4 2 2" xfId="4054" xr:uid="{879DD09F-5CD3-4B07-AA25-ED86EDEEAE12}"/>
    <cellStyle name="Normal 9 2 2 4 2 2 2" xfId="8272" xr:uid="{E52F781C-E207-4E86-8DEB-E64B0BDCFCE7}"/>
    <cellStyle name="Normal 9 2 2 4 2 3" xfId="6127" xr:uid="{7BF5D2F7-6AE1-4711-96AB-2E21213D1B78}"/>
    <cellStyle name="Normal 9 2 2 4 2 4" xfId="1825" xr:uid="{870A48C3-88A3-4461-A624-D53F7F4792B9}"/>
    <cellStyle name="Normal 9 2 2 4 3" xfId="2238" xr:uid="{901ADAA1-B3DE-460D-90F0-DB614C95C151}"/>
    <cellStyle name="Normal 9 2 2 4 3 2" xfId="4467" xr:uid="{0199D4BD-5702-4C18-88F2-5D14B4BDC0DA}"/>
    <cellStyle name="Normal 9 2 2 4 3 2 2" xfId="8685" xr:uid="{1E8A163C-769B-43B7-A7DA-E5C69C18A427}"/>
    <cellStyle name="Normal 9 2 2 4 3 3" xfId="6540" xr:uid="{3412E2A7-C76F-4647-B249-9B775371AD0E}"/>
    <cellStyle name="Normal 9 2 2 4 4" xfId="2651" xr:uid="{C6441AA0-26BF-48CB-985C-4D6597BD4B41}"/>
    <cellStyle name="Normal 9 2 2 4 4 2" xfId="4880" xr:uid="{49AF3C6B-E506-4D95-884D-74C6171F7546}"/>
    <cellStyle name="Normal 9 2 2 4 4 2 2" xfId="9098" xr:uid="{07E59C1B-FDD7-4FAE-9381-FE9C5F366EAC}"/>
    <cellStyle name="Normal 9 2 2 4 4 3" xfId="6953" xr:uid="{301E3E3E-166F-46A6-AC01-28FD1D80CD0B}"/>
    <cellStyle name="Normal 9 2 2 4 5" xfId="3064" xr:uid="{6FA8DB80-08E7-4C0A-8FEF-300F722CFEED}"/>
    <cellStyle name="Normal 9 2 2 4 5 2" xfId="5293" xr:uid="{D24FCC52-93A4-4DED-8DAF-3407A4F9BB65}"/>
    <cellStyle name="Normal 9 2 2 4 5 2 2" xfId="9511" xr:uid="{600DCE97-5A53-4992-8E15-9330324F4F98}"/>
    <cellStyle name="Normal 9 2 2 4 5 3" xfId="7366" xr:uid="{A9638AE8-C2E2-4A6F-906A-49E1884E41B3}"/>
    <cellStyle name="Normal 9 2 2 4 6" xfId="3500" xr:uid="{D53E6FFB-2602-4763-AE6E-722D4BF21680}"/>
    <cellStyle name="Normal 9 2 2 4 6 2" xfId="7779" xr:uid="{586393A6-A8AA-4C3C-BD91-3921CA32446D}"/>
    <cellStyle name="Normal 9 2 2 4 7" xfId="5714" xr:uid="{4581646B-1DFA-4699-AC9A-2B92069F61AF}"/>
    <cellStyle name="Normal 9 2 2 4 8" xfId="1410" xr:uid="{00A2AAA7-695F-4D91-9EF9-08D94B918CC8}"/>
    <cellStyle name="Normal 9 2 2 5" xfId="987" xr:uid="{00000000-0005-0000-0000-0000AC030000}"/>
    <cellStyle name="Normal 9 2 2 5 2" xfId="4047" xr:uid="{2527311E-9D84-45AD-91FD-8BCA5BB05F37}"/>
    <cellStyle name="Normal 9 2 2 5 2 2" xfId="8265" xr:uid="{A3E36AC2-53CB-4780-989D-EEA7C83EEEA3}"/>
    <cellStyle name="Normal 9 2 2 5 3" xfId="6120" xr:uid="{59033F85-CF93-46B7-A7DC-12C5986AB4DC}"/>
    <cellStyle name="Normal 9 2 2 5 4" xfId="1818" xr:uid="{7FBF4D21-378D-46F1-972E-6D8938AA03A6}"/>
    <cellStyle name="Normal 9 2 2 6" xfId="2231" xr:uid="{354B374D-769B-4AE3-AED6-D3D5B128BE0D}"/>
    <cellStyle name="Normal 9 2 2 6 2" xfId="4460" xr:uid="{097EE4DA-D6A8-4D94-9F68-E10D5B6E5D1F}"/>
    <cellStyle name="Normal 9 2 2 6 2 2" xfId="8678" xr:uid="{0F5C18B9-511A-4198-9D80-2611F92033F4}"/>
    <cellStyle name="Normal 9 2 2 6 3" xfId="6533" xr:uid="{0247AFBB-C801-4BA3-93F0-0780E4B7FAB9}"/>
    <cellStyle name="Normal 9 2 2 7" xfId="2644" xr:uid="{28FD3F0B-3723-48BC-B49C-154552384FCF}"/>
    <cellStyle name="Normal 9 2 2 7 2" xfId="4873" xr:uid="{F6BDD8D0-6A85-45A1-8332-A148A754BC24}"/>
    <cellStyle name="Normal 9 2 2 7 2 2" xfId="9091" xr:uid="{6D566957-B561-42AF-8941-23ED235942CA}"/>
    <cellStyle name="Normal 9 2 2 7 3" xfId="6946" xr:uid="{6B15F2D3-2D29-4F9C-98D1-79B524FFC6C1}"/>
    <cellStyle name="Normal 9 2 2 8" xfId="3057" xr:uid="{B157E0E8-5E4A-41C9-9207-5B452FB4D549}"/>
    <cellStyle name="Normal 9 2 2 8 2" xfId="5286" xr:uid="{23BF6C13-1F69-45F8-BB33-9D2FE31E8C36}"/>
    <cellStyle name="Normal 9 2 2 8 2 2" xfId="9504" xr:uid="{224C2278-5DB8-4C1E-88FF-C7C4E67601A6}"/>
    <cellStyle name="Normal 9 2 2 8 3" xfId="7359" xr:uid="{1BC262B0-5E63-4383-9BB7-DDA640418F03}"/>
    <cellStyle name="Normal 9 2 2 9" xfId="3493" xr:uid="{C931F0C3-2922-44A5-A1E2-5BFE7A5D3BDA}"/>
    <cellStyle name="Normal 9 2 2 9 2" xfId="7772" xr:uid="{C9797C41-2FA9-4692-8DC8-3E0284459F09}"/>
    <cellStyle name="Normal 9 2 3" xfId="523" xr:uid="{00000000-0005-0000-0000-0000AD030000}"/>
    <cellStyle name="Normal 9 2 3 10" xfId="1411" xr:uid="{6A64A287-AF83-4AFA-AF4A-F2FEC3744120}"/>
    <cellStyle name="Normal 9 2 3 2" xfId="524" xr:uid="{00000000-0005-0000-0000-0000AE030000}"/>
    <cellStyle name="Normal 9 2 3 2 2" xfId="525" xr:uid="{00000000-0005-0000-0000-0000AF030000}"/>
    <cellStyle name="Normal 9 2 3 2 2 2" xfId="997" xr:uid="{00000000-0005-0000-0000-0000B0030000}"/>
    <cellStyle name="Normal 9 2 3 2 2 2 2" xfId="4057" xr:uid="{C55F03D3-FE61-4B73-A726-6FB6E3D4F665}"/>
    <cellStyle name="Normal 9 2 3 2 2 2 2 2" xfId="8275" xr:uid="{4DE5BD5A-0297-4190-88F5-9DF0DC0DC6D3}"/>
    <cellStyle name="Normal 9 2 3 2 2 2 3" xfId="6130" xr:uid="{B3C178AC-3218-447E-B2BC-10811EA5D169}"/>
    <cellStyle name="Normal 9 2 3 2 2 2 4" xfId="1828" xr:uid="{9653DEC2-DB11-43A5-B27D-AACE2B38DE29}"/>
    <cellStyle name="Normal 9 2 3 2 2 3" xfId="2241" xr:uid="{A95F7354-D0FF-4E32-BEE8-16EABDE2EEA4}"/>
    <cellStyle name="Normal 9 2 3 2 2 3 2" xfId="4470" xr:uid="{77CEEC07-81B1-4EC8-95EE-9F0DF111A596}"/>
    <cellStyle name="Normal 9 2 3 2 2 3 2 2" xfId="8688" xr:uid="{D488AB0C-8253-4CA0-A1E6-910DBE446461}"/>
    <cellStyle name="Normal 9 2 3 2 2 3 3" xfId="6543" xr:uid="{CD2D5F7D-2DF9-4F63-AF69-CBFF6E24F542}"/>
    <cellStyle name="Normal 9 2 3 2 2 4" xfId="2654" xr:uid="{15DB044F-7B77-435A-A21A-96FF4AB30343}"/>
    <cellStyle name="Normal 9 2 3 2 2 4 2" xfId="4883" xr:uid="{63ADC397-9535-41D2-938B-F35FDA170161}"/>
    <cellStyle name="Normal 9 2 3 2 2 4 2 2" xfId="9101" xr:uid="{430179D3-A35B-4A01-A2F7-679233F87429}"/>
    <cellStyle name="Normal 9 2 3 2 2 4 3" xfId="6956" xr:uid="{C1AAA503-6EDE-474E-9643-7870CAFF35D0}"/>
    <cellStyle name="Normal 9 2 3 2 2 5" xfId="3067" xr:uid="{328FB0E1-5F03-4998-B44F-8230167E255A}"/>
    <cellStyle name="Normal 9 2 3 2 2 5 2" xfId="5296" xr:uid="{E1337FE2-3CCA-4CA0-9C54-C40B90FBDBD3}"/>
    <cellStyle name="Normal 9 2 3 2 2 5 2 2" xfId="9514" xr:uid="{F73654E1-CD7A-4385-AE04-29E562D447AC}"/>
    <cellStyle name="Normal 9 2 3 2 2 5 3" xfId="7369" xr:uid="{9938DC05-14DF-43A5-BC18-6A8CDEB37390}"/>
    <cellStyle name="Normal 9 2 3 2 2 6" xfId="3503" xr:uid="{DD0D05B8-BB21-4BC2-A3A1-0F570543149D}"/>
    <cellStyle name="Normal 9 2 3 2 2 6 2" xfId="7782" xr:uid="{36500EF3-62EB-47E8-9736-5E6A004FB075}"/>
    <cellStyle name="Normal 9 2 3 2 2 7" xfId="5717" xr:uid="{6DCEFCDE-89CB-4D0E-A953-92E8FF0084CE}"/>
    <cellStyle name="Normal 9 2 3 2 2 8" xfId="1413" xr:uid="{A1FBE869-9DC3-4A11-B3CA-4C4D0EA0FB58}"/>
    <cellStyle name="Normal 9 2 3 2 3" xfId="996" xr:uid="{00000000-0005-0000-0000-0000B1030000}"/>
    <cellStyle name="Normal 9 2 3 2 3 2" xfId="4056" xr:uid="{512E3A97-670A-45A3-9FC3-5ADF1EA1782D}"/>
    <cellStyle name="Normal 9 2 3 2 3 2 2" xfId="8274" xr:uid="{979AC064-5357-430E-A1A7-5F995F985D0A}"/>
    <cellStyle name="Normal 9 2 3 2 3 3" xfId="6129" xr:uid="{CFCDA833-81D6-4FE5-9734-7C1A55F5210F}"/>
    <cellStyle name="Normal 9 2 3 2 3 4" xfId="1827" xr:uid="{AF198430-CF0D-4201-8A7E-90F5B1786E41}"/>
    <cellStyle name="Normal 9 2 3 2 4" xfId="2240" xr:uid="{38494B5E-D8C1-45A9-A77C-9C9C3ECD5088}"/>
    <cellStyle name="Normal 9 2 3 2 4 2" xfId="4469" xr:uid="{F8EEABDD-803B-4A0A-93CF-DEEBF58CC56D}"/>
    <cellStyle name="Normal 9 2 3 2 4 2 2" xfId="8687" xr:uid="{5D12CDDF-2640-43F4-AF31-1E117F37AB26}"/>
    <cellStyle name="Normal 9 2 3 2 4 3" xfId="6542" xr:uid="{30EAE384-A6FB-40D4-92A5-CF57EFF0DEDF}"/>
    <cellStyle name="Normal 9 2 3 2 5" xfId="2653" xr:uid="{DE69C10E-0B69-47AC-8024-81DDA24E41FD}"/>
    <cellStyle name="Normal 9 2 3 2 5 2" xfId="4882" xr:uid="{6A8FBC38-4D30-4B6B-AB1B-44B773087FBD}"/>
    <cellStyle name="Normal 9 2 3 2 5 2 2" xfId="9100" xr:uid="{977A5687-2E01-454F-83D3-5C6F8EB1ADAC}"/>
    <cellStyle name="Normal 9 2 3 2 5 3" xfId="6955" xr:uid="{FC6DC9B6-D38D-4666-AF2D-F84B1C58D787}"/>
    <cellStyle name="Normal 9 2 3 2 6" xfId="3066" xr:uid="{B8665B5B-0AE0-432C-B96D-73C3142C4F6E}"/>
    <cellStyle name="Normal 9 2 3 2 6 2" xfId="5295" xr:uid="{890A7670-2C6B-479C-A8C8-0555B5878EC7}"/>
    <cellStyle name="Normal 9 2 3 2 6 2 2" xfId="9513" xr:uid="{F4FBEAD2-1F03-45CA-9FFC-BAC4BEAC1679}"/>
    <cellStyle name="Normal 9 2 3 2 6 3" xfId="7368" xr:uid="{C63405ED-18BF-442D-944F-D2D0CD1A4143}"/>
    <cellStyle name="Normal 9 2 3 2 7" xfId="3502" xr:uid="{9D2582C9-E7EE-4AC6-A631-32AC5A79692C}"/>
    <cellStyle name="Normal 9 2 3 2 7 2" xfId="7781" xr:uid="{BA673D57-746A-4714-9750-B7A1708C6126}"/>
    <cellStyle name="Normal 9 2 3 2 8" xfId="5716" xr:uid="{4534485A-4179-4E0B-94FA-BCC25EED206C}"/>
    <cellStyle name="Normal 9 2 3 2 9" xfId="1412" xr:uid="{BA652113-9472-4E74-A1B6-BEB9CF67552C}"/>
    <cellStyle name="Normal 9 2 3 3" xfId="526" xr:uid="{00000000-0005-0000-0000-0000B2030000}"/>
    <cellStyle name="Normal 9 2 3 3 2" xfId="998" xr:uid="{00000000-0005-0000-0000-0000B3030000}"/>
    <cellStyle name="Normal 9 2 3 3 2 2" xfId="4058" xr:uid="{E881E643-FE04-454B-96E0-BE8AD49E346A}"/>
    <cellStyle name="Normal 9 2 3 3 2 2 2" xfId="8276" xr:uid="{A256A07F-4FFD-4B59-8FAF-3945CC34FC1B}"/>
    <cellStyle name="Normal 9 2 3 3 2 3" xfId="6131" xr:uid="{EEE29379-6B94-46B7-A743-F69C0DF70009}"/>
    <cellStyle name="Normal 9 2 3 3 2 4" xfId="1829" xr:uid="{17CCEE44-3A8F-4012-A81B-0535E198C0D7}"/>
    <cellStyle name="Normal 9 2 3 3 3" xfId="2242" xr:uid="{DF885D1B-C64B-41A0-B89B-023D606B423B}"/>
    <cellStyle name="Normal 9 2 3 3 3 2" xfId="4471" xr:uid="{1CC1A65A-B020-46A2-A58D-7E76E0583E79}"/>
    <cellStyle name="Normal 9 2 3 3 3 2 2" xfId="8689" xr:uid="{01F8EE04-7CBA-40B0-99A1-D0DB552ABB03}"/>
    <cellStyle name="Normal 9 2 3 3 3 3" xfId="6544" xr:uid="{F3A020C7-8BBE-4D6E-B0C7-0D6AFB0DBFAB}"/>
    <cellStyle name="Normal 9 2 3 3 4" xfId="2655" xr:uid="{CA26D44F-473E-4FCF-B4CC-B18072E59F93}"/>
    <cellStyle name="Normal 9 2 3 3 4 2" xfId="4884" xr:uid="{27BFDAF7-86F5-47FF-AE61-8D44FC547258}"/>
    <cellStyle name="Normal 9 2 3 3 4 2 2" xfId="9102" xr:uid="{D6F510C3-4F28-4E52-94B2-24AE7E9F319C}"/>
    <cellStyle name="Normal 9 2 3 3 4 3" xfId="6957" xr:uid="{8BD12B37-B2D0-4258-B909-D0E7074AEA6B}"/>
    <cellStyle name="Normal 9 2 3 3 5" xfId="3068" xr:uid="{2D0F8417-6E1B-43A8-8A8A-686A1220F499}"/>
    <cellStyle name="Normal 9 2 3 3 5 2" xfId="5297" xr:uid="{63F471A8-AE3A-4179-AB03-6E54A0C05168}"/>
    <cellStyle name="Normal 9 2 3 3 5 2 2" xfId="9515" xr:uid="{EB27DE81-24E8-4158-8FE3-0625E783F63C}"/>
    <cellStyle name="Normal 9 2 3 3 5 3" xfId="7370" xr:uid="{48EB71F2-E488-4387-A2E1-E55798BF7B0F}"/>
    <cellStyle name="Normal 9 2 3 3 6" xfId="3504" xr:uid="{12969A81-FB59-4E6F-94CF-D0DE824B31E2}"/>
    <cellStyle name="Normal 9 2 3 3 6 2" xfId="7783" xr:uid="{108F1EE4-329A-4423-A65F-B3513F7184D7}"/>
    <cellStyle name="Normal 9 2 3 3 7" xfId="5718" xr:uid="{4AC09BBC-9EA7-4322-A103-AE33CFDC2119}"/>
    <cellStyle name="Normal 9 2 3 3 8" xfId="1414" xr:uid="{D6C9D0F3-EB30-43A1-A2E1-DB1C50F75F20}"/>
    <cellStyle name="Normal 9 2 3 4" xfId="995" xr:uid="{00000000-0005-0000-0000-0000B4030000}"/>
    <cellStyle name="Normal 9 2 3 4 2" xfId="4055" xr:uid="{C7AAE793-BA6F-4F46-A263-E7F41E6D5BC8}"/>
    <cellStyle name="Normal 9 2 3 4 2 2" xfId="8273" xr:uid="{E3F8A2CD-D9B4-4E55-A36E-54C6A41A08EE}"/>
    <cellStyle name="Normal 9 2 3 4 3" xfId="6128" xr:uid="{1496AA97-8963-403D-99DB-2DB9EEB0852D}"/>
    <cellStyle name="Normal 9 2 3 4 4" xfId="1826" xr:uid="{CB84673E-B890-4A0E-8E61-07C9A7770D14}"/>
    <cellStyle name="Normal 9 2 3 5" xfId="2239" xr:uid="{B6429C53-9589-4955-A72A-876654224E13}"/>
    <cellStyle name="Normal 9 2 3 5 2" xfId="4468" xr:uid="{B470B06B-64D0-4411-BCAB-9FC7479317E8}"/>
    <cellStyle name="Normal 9 2 3 5 2 2" xfId="8686" xr:uid="{8B405B12-F3A8-4DE9-8A08-EBE6274429B3}"/>
    <cellStyle name="Normal 9 2 3 5 3" xfId="6541" xr:uid="{CD2728AC-43D1-4049-844A-256CA33AB898}"/>
    <cellStyle name="Normal 9 2 3 6" xfId="2652" xr:uid="{CDE40301-561D-4FE9-8A32-BCC59FFF211B}"/>
    <cellStyle name="Normal 9 2 3 6 2" xfId="4881" xr:uid="{9ABAE543-655F-4424-AFD8-D768EB466051}"/>
    <cellStyle name="Normal 9 2 3 6 2 2" xfId="9099" xr:uid="{20A20BBD-B402-488F-9253-E506EF473766}"/>
    <cellStyle name="Normal 9 2 3 6 3" xfId="6954" xr:uid="{9F75BD64-DF6E-4CE8-9327-9C9E816D3570}"/>
    <cellStyle name="Normal 9 2 3 7" xfId="3065" xr:uid="{C5337EB2-2A38-46EE-85E5-00DE40D15394}"/>
    <cellStyle name="Normal 9 2 3 7 2" xfId="5294" xr:uid="{24889E13-169C-441D-981D-C7584A157F3C}"/>
    <cellStyle name="Normal 9 2 3 7 2 2" xfId="9512" xr:uid="{0430629D-FBE0-46AF-9F55-40EBA04460C4}"/>
    <cellStyle name="Normal 9 2 3 7 3" xfId="7367" xr:uid="{1D6969AD-C117-4F26-BD59-DFC949297CF0}"/>
    <cellStyle name="Normal 9 2 3 8" xfId="3501" xr:uid="{09FB6C22-A120-4864-AAE0-3B6B260679A5}"/>
    <cellStyle name="Normal 9 2 3 8 2" xfId="7780" xr:uid="{93FAF5C0-0DDF-45BE-A87A-81ADD5FDEDDF}"/>
    <cellStyle name="Normal 9 2 3 9" xfId="5715" xr:uid="{7F906846-3462-4B55-89F3-DE78062B993B}"/>
    <cellStyle name="Normal 9 2 4" xfId="527" xr:uid="{00000000-0005-0000-0000-0000B5030000}"/>
    <cellStyle name="Normal 9 2 4 2" xfId="528" xr:uid="{00000000-0005-0000-0000-0000B6030000}"/>
    <cellStyle name="Normal 9 2 4 2 2" xfId="1000" xr:uid="{00000000-0005-0000-0000-0000B7030000}"/>
    <cellStyle name="Normal 9 2 4 2 2 2" xfId="4060" xr:uid="{F34DA927-899D-4037-8624-4249F5340751}"/>
    <cellStyle name="Normal 9 2 4 2 2 2 2" xfId="8278" xr:uid="{BE6ECDEC-543E-4BF2-838B-4BA4227BA800}"/>
    <cellStyle name="Normal 9 2 4 2 2 3" xfId="6133" xr:uid="{939FF232-541F-48A6-B87B-3E8CB162DEFF}"/>
    <cellStyle name="Normal 9 2 4 2 2 4" xfId="1831" xr:uid="{3446A131-DB3D-44C5-A2F5-6CB27E1A848F}"/>
    <cellStyle name="Normal 9 2 4 2 3" xfId="2244" xr:uid="{03DF1B7F-F566-4DB4-8111-A8CAFE6A3C1B}"/>
    <cellStyle name="Normal 9 2 4 2 3 2" xfId="4473" xr:uid="{8A8B62E2-C476-4A12-967E-7F6A6C8A98CB}"/>
    <cellStyle name="Normal 9 2 4 2 3 2 2" xfId="8691" xr:uid="{9140869D-8D14-4852-8CB3-8A359902F532}"/>
    <cellStyle name="Normal 9 2 4 2 3 3" xfId="6546" xr:uid="{7457877E-5745-4345-BF6D-328DEE968643}"/>
    <cellStyle name="Normal 9 2 4 2 4" xfId="2657" xr:uid="{29964BB5-7F8C-4BFB-B3E5-4BBEAF4698FD}"/>
    <cellStyle name="Normal 9 2 4 2 4 2" xfId="4886" xr:uid="{31B3FBF9-D9E1-4F78-BD6F-F551F00BF571}"/>
    <cellStyle name="Normal 9 2 4 2 4 2 2" xfId="9104" xr:uid="{0F9459AE-7F3C-46C0-9714-C0B9D152BB90}"/>
    <cellStyle name="Normal 9 2 4 2 4 3" xfId="6959" xr:uid="{53ED64BD-074E-41F0-801F-EF715B4A6947}"/>
    <cellStyle name="Normal 9 2 4 2 5" xfId="3070" xr:uid="{7AAF512B-C0AC-4275-8D4B-298F9C7FCC86}"/>
    <cellStyle name="Normal 9 2 4 2 5 2" xfId="5299" xr:uid="{43FF9D93-5890-41FB-8FEC-594E23E6E974}"/>
    <cellStyle name="Normal 9 2 4 2 5 2 2" xfId="9517" xr:uid="{42F4F0FF-E74F-4113-B15E-8048EBA3CAA1}"/>
    <cellStyle name="Normal 9 2 4 2 5 3" xfId="7372" xr:uid="{589A4820-9D7F-4E7C-B41A-696BF7D3E0A4}"/>
    <cellStyle name="Normal 9 2 4 2 6" xfId="3506" xr:uid="{8BF17522-7C5D-4152-B0B1-34786A6CA05A}"/>
    <cellStyle name="Normal 9 2 4 2 6 2" xfId="7785" xr:uid="{3FEEE8B3-8784-470D-89C5-2F7F453785C8}"/>
    <cellStyle name="Normal 9 2 4 2 7" xfId="5720" xr:uid="{E1747015-4855-4C54-B96B-68DAD4115EF1}"/>
    <cellStyle name="Normal 9 2 4 2 8" xfId="1416" xr:uid="{B8D238A5-F66A-4805-AED8-A2EA047180E7}"/>
    <cellStyle name="Normal 9 2 4 3" xfId="999" xr:uid="{00000000-0005-0000-0000-0000B8030000}"/>
    <cellStyle name="Normal 9 2 4 3 2" xfId="4059" xr:uid="{B5E7BFB3-2DD9-4EDA-B5E0-E5EBB0DAA471}"/>
    <cellStyle name="Normal 9 2 4 3 2 2" xfId="8277" xr:uid="{67FA4B5A-072F-4B4D-B3AC-78AD313F8FCA}"/>
    <cellStyle name="Normal 9 2 4 3 3" xfId="6132" xr:uid="{1CCA8D94-F096-49DA-A0FE-1E5EEAFE2BC4}"/>
    <cellStyle name="Normal 9 2 4 3 4" xfId="1830" xr:uid="{FCCD57DA-E0D5-4D17-B753-67B7F2D7966C}"/>
    <cellStyle name="Normal 9 2 4 4" xfId="2243" xr:uid="{34E4576C-8B53-4B9A-A211-10DF6E05ACA9}"/>
    <cellStyle name="Normal 9 2 4 4 2" xfId="4472" xr:uid="{DDA31C93-9181-44E1-AEED-9E2D877AE692}"/>
    <cellStyle name="Normal 9 2 4 4 2 2" xfId="8690" xr:uid="{DB7C4F2F-3435-4CBB-91ED-77EF42EF7842}"/>
    <cellStyle name="Normal 9 2 4 4 3" xfId="6545" xr:uid="{0B3CAE1D-269C-4B93-A5E7-4A2855EAF948}"/>
    <cellStyle name="Normal 9 2 4 5" xfId="2656" xr:uid="{C414360C-F146-4F51-A407-398BEE98E22E}"/>
    <cellStyle name="Normal 9 2 4 5 2" xfId="4885" xr:uid="{E2F11FA1-21B1-4055-AEA8-04D3F4339194}"/>
    <cellStyle name="Normal 9 2 4 5 2 2" xfId="9103" xr:uid="{76F0AC0E-380C-4EEC-B681-9E847B644743}"/>
    <cellStyle name="Normal 9 2 4 5 3" xfId="6958" xr:uid="{ADE8D0F5-6A6B-4966-866A-FD5F34F80A9A}"/>
    <cellStyle name="Normal 9 2 4 6" xfId="3069" xr:uid="{55E77247-FAA6-436F-8724-97AB5621BFB9}"/>
    <cellStyle name="Normal 9 2 4 6 2" xfId="5298" xr:uid="{6A5ADF00-E7D4-45F5-81EE-4931E75A8FC4}"/>
    <cellStyle name="Normal 9 2 4 6 2 2" xfId="9516" xr:uid="{AC16752C-3131-4DB3-845E-EC1C7AC50025}"/>
    <cellStyle name="Normal 9 2 4 6 3" xfId="7371" xr:uid="{A50AD883-CBE9-45B3-876B-2FCC7C5E69A2}"/>
    <cellStyle name="Normal 9 2 4 7" xfId="3505" xr:uid="{DC29BE20-47A0-4CA9-87F3-289F8569A158}"/>
    <cellStyle name="Normal 9 2 4 7 2" xfId="7784" xr:uid="{4CEA7FD3-4C98-4E71-BA6A-BE636375CA43}"/>
    <cellStyle name="Normal 9 2 4 8" xfId="5719" xr:uid="{85C09AEC-B280-4A79-9077-10411A8FAB8A}"/>
    <cellStyle name="Normal 9 2 4 9" xfId="1415" xr:uid="{14424167-28CE-4763-BE46-B4B299F421D7}"/>
    <cellStyle name="Normal 9 2 5" xfId="529" xr:uid="{00000000-0005-0000-0000-0000B9030000}"/>
    <cellStyle name="Normal 9 2 5 2" xfId="1001" xr:uid="{00000000-0005-0000-0000-0000BA030000}"/>
    <cellStyle name="Normal 9 2 5 2 2" xfId="4061" xr:uid="{B33A045C-49D0-4BE1-B582-46F758EFB622}"/>
    <cellStyle name="Normal 9 2 5 2 2 2" xfId="8279" xr:uid="{AFABACD7-9F4A-456E-BEA0-434E8A025A8D}"/>
    <cellStyle name="Normal 9 2 5 2 3" xfId="6134" xr:uid="{E97DD637-C76C-4A40-9374-CC35DB84BC77}"/>
    <cellStyle name="Normal 9 2 5 2 4" xfId="1832" xr:uid="{773738BE-1F98-4C98-958A-5F8383E8D089}"/>
    <cellStyle name="Normal 9 2 5 3" xfId="2245" xr:uid="{1BE8BF4B-F63D-43B7-9089-672B04C6859C}"/>
    <cellStyle name="Normal 9 2 5 3 2" xfId="4474" xr:uid="{E3726648-6541-4F23-BF42-122EF1D64969}"/>
    <cellStyle name="Normal 9 2 5 3 2 2" xfId="8692" xr:uid="{5A312A62-B2FE-4597-BCB4-B7F48E58127D}"/>
    <cellStyle name="Normal 9 2 5 3 3" xfId="6547" xr:uid="{57CF18A6-916B-4DBA-BA64-3D00FA3B4B4D}"/>
    <cellStyle name="Normal 9 2 5 4" xfId="2658" xr:uid="{9962B02A-3D48-495F-849E-43FCC5982A4E}"/>
    <cellStyle name="Normal 9 2 5 4 2" xfId="4887" xr:uid="{7801EE86-495A-4BBA-9936-3987CF35E220}"/>
    <cellStyle name="Normal 9 2 5 4 2 2" xfId="9105" xr:uid="{3E4BF10B-7850-4B85-A3C2-0CB2BF0D4F7E}"/>
    <cellStyle name="Normal 9 2 5 4 3" xfId="6960" xr:uid="{C42E90A3-1A7C-4C9B-992D-DA54553B59AA}"/>
    <cellStyle name="Normal 9 2 5 5" xfId="3071" xr:uid="{44EDD545-180E-4167-8ADA-8B685596C10C}"/>
    <cellStyle name="Normal 9 2 5 5 2" xfId="5300" xr:uid="{D5334CD1-739A-4898-BE8A-C0085FF26E1A}"/>
    <cellStyle name="Normal 9 2 5 5 2 2" xfId="9518" xr:uid="{7DE47ED3-AD7C-47B8-A71B-2039E28FA4B0}"/>
    <cellStyle name="Normal 9 2 5 5 3" xfId="7373" xr:uid="{40BF7135-35FA-449D-9613-220CC962E655}"/>
    <cellStyle name="Normal 9 2 5 6" xfId="3507" xr:uid="{DA88D41A-7E56-4FD2-803E-CF06B18C1E19}"/>
    <cellStyle name="Normal 9 2 5 6 2" xfId="7786" xr:uid="{3658E015-B7A1-4DFA-9C2C-2C387DB69194}"/>
    <cellStyle name="Normal 9 2 5 7" xfId="5721" xr:uid="{DB7D653A-6474-4A11-A52D-667EE2E83690}"/>
    <cellStyle name="Normal 9 2 5 8" xfId="1417" xr:uid="{6367D153-E8F0-4E83-A751-5CC4A24EB1E2}"/>
    <cellStyle name="Normal 9 2 6" xfId="986" xr:uid="{00000000-0005-0000-0000-0000BB030000}"/>
    <cellStyle name="Normal 9 2 6 2" xfId="4046" xr:uid="{E1FD668E-9E74-4519-B0AC-EBD6687B764C}"/>
    <cellStyle name="Normal 9 2 6 2 2" xfId="8264" xr:uid="{156A3834-CC72-4CFF-A235-FE966D4895F4}"/>
    <cellStyle name="Normal 9 2 6 3" xfId="6119" xr:uid="{4A515703-3042-43FE-8693-A1AA290ED79E}"/>
    <cellStyle name="Normal 9 2 6 4" xfId="1817" xr:uid="{594CCBF5-AB69-472E-9019-26A522C76E7E}"/>
    <cellStyle name="Normal 9 2 7" xfId="2230" xr:uid="{3A3DE7AE-F9CE-4662-86C2-92DAF16CA695}"/>
    <cellStyle name="Normal 9 2 7 2" xfId="4459" xr:uid="{55DC598A-90EE-4313-B042-ED7E6C020348}"/>
    <cellStyle name="Normal 9 2 7 2 2" xfId="8677" xr:uid="{76CF86F7-AEA5-45E9-A9CF-AF41B3227D5F}"/>
    <cellStyle name="Normal 9 2 7 3" xfId="6532" xr:uid="{CFFFE6BD-A2D9-4D2C-BD1A-FB596376D178}"/>
    <cellStyle name="Normal 9 2 8" xfId="2643" xr:uid="{C13C29C9-4803-46C0-ADA1-B92CC7FA90F0}"/>
    <cellStyle name="Normal 9 2 8 2" xfId="4872" xr:uid="{4322EAF1-60F1-4743-B08F-4D9AF4CA096C}"/>
    <cellStyle name="Normal 9 2 8 2 2" xfId="9090" xr:uid="{E41E9E0A-476E-4171-851A-C89FF4DDCEF3}"/>
    <cellStyle name="Normal 9 2 8 3" xfId="6945" xr:uid="{4232660B-2DA0-41D3-963E-9339DE992794}"/>
    <cellStyle name="Normal 9 2 9" xfId="3056" xr:uid="{D6FBAEC5-6CBA-4F5A-849B-AFF41EC8BFA8}"/>
    <cellStyle name="Normal 9 2 9 2" xfId="5285" xr:uid="{0FC5AB7D-E21B-4689-93B7-145C78782190}"/>
    <cellStyle name="Normal 9 2 9 2 2" xfId="9503" xr:uid="{076027DE-B2FE-4DE6-B608-0BA0F42E05EE}"/>
    <cellStyle name="Normal 9 2 9 3" xfId="7358" xr:uid="{2F77CDE9-38D8-4CD4-B178-F5C982257755}"/>
    <cellStyle name="Normal 9 3" xfId="530" xr:uid="{00000000-0005-0000-0000-0000BC030000}"/>
    <cellStyle name="Normal 9 3 10" xfId="5722" xr:uid="{A73F099C-AC73-44EC-837C-6E1F206A6B08}"/>
    <cellStyle name="Normal 9 3 11" xfId="1418" xr:uid="{64E742A1-B3C6-4B9D-ADB3-19E73D1083BD}"/>
    <cellStyle name="Normal 9 3 2" xfId="531" xr:uid="{00000000-0005-0000-0000-0000BD030000}"/>
    <cellStyle name="Normal 9 3 2 10" xfId="1419" xr:uid="{9229971F-2B2F-49FB-8B15-621B0004E784}"/>
    <cellStyle name="Normal 9 3 2 2" xfId="532" xr:uid="{00000000-0005-0000-0000-0000BE030000}"/>
    <cellStyle name="Normal 9 3 2 2 2" xfId="533" xr:uid="{00000000-0005-0000-0000-0000BF030000}"/>
    <cellStyle name="Normal 9 3 2 2 2 2" xfId="1005" xr:uid="{00000000-0005-0000-0000-0000C0030000}"/>
    <cellStyle name="Normal 9 3 2 2 2 2 2" xfId="4065" xr:uid="{48684733-89A9-4A83-8228-AFBA587B8973}"/>
    <cellStyle name="Normal 9 3 2 2 2 2 2 2" xfId="8283" xr:uid="{39E3D01C-6295-4B34-804D-15C91A7BE32F}"/>
    <cellStyle name="Normal 9 3 2 2 2 2 3" xfId="6138" xr:uid="{42EACB1A-CE5B-4157-8FAC-2D9679DBA12C}"/>
    <cellStyle name="Normal 9 3 2 2 2 2 4" xfId="1836" xr:uid="{B4753133-F089-4C8C-B669-4727596FC435}"/>
    <cellStyle name="Normal 9 3 2 2 2 3" xfId="2249" xr:uid="{29048B3D-1761-41BF-91A9-D6B3FE6772FF}"/>
    <cellStyle name="Normal 9 3 2 2 2 3 2" xfId="4478" xr:uid="{AA2E6FCB-CFA4-4487-B882-9A9B2485F492}"/>
    <cellStyle name="Normal 9 3 2 2 2 3 2 2" xfId="8696" xr:uid="{9EEBE989-A380-4F9A-914F-AE3C65E221F2}"/>
    <cellStyle name="Normal 9 3 2 2 2 3 3" xfId="6551" xr:uid="{069ADB37-415A-4D5A-A055-C60CBDBC3A04}"/>
    <cellStyle name="Normal 9 3 2 2 2 4" xfId="2662" xr:uid="{550D947C-46F7-4412-9703-BA5584401F9A}"/>
    <cellStyle name="Normal 9 3 2 2 2 4 2" xfId="4891" xr:uid="{9D12F372-F898-4105-81DE-D3213B07F2AE}"/>
    <cellStyle name="Normal 9 3 2 2 2 4 2 2" xfId="9109" xr:uid="{804B7DD4-3CFB-43E9-9870-91DB5D841250}"/>
    <cellStyle name="Normal 9 3 2 2 2 4 3" xfId="6964" xr:uid="{E4AE8F10-7248-4EE6-AD32-3AC16BF7DC3D}"/>
    <cellStyle name="Normal 9 3 2 2 2 5" xfId="3075" xr:uid="{2237E065-5E03-4F36-9807-C16BB224115F}"/>
    <cellStyle name="Normal 9 3 2 2 2 5 2" xfId="5304" xr:uid="{95E0CA88-664A-4736-947C-4144D4C00F82}"/>
    <cellStyle name="Normal 9 3 2 2 2 5 2 2" xfId="9522" xr:uid="{CDFCAE34-27C7-44C6-92A2-0027E149C71F}"/>
    <cellStyle name="Normal 9 3 2 2 2 5 3" xfId="7377" xr:uid="{B18C52C3-3983-4E6D-8863-56657F5A12EE}"/>
    <cellStyle name="Normal 9 3 2 2 2 6" xfId="3511" xr:uid="{5390A165-431D-4F79-A321-4B02B886F88D}"/>
    <cellStyle name="Normal 9 3 2 2 2 6 2" xfId="7790" xr:uid="{25B84EFC-B611-4E7F-B2F1-F6D5B80CF214}"/>
    <cellStyle name="Normal 9 3 2 2 2 7" xfId="5725" xr:uid="{6BC539A7-53D8-4B52-B16D-1B5548B5B6A4}"/>
    <cellStyle name="Normal 9 3 2 2 2 8" xfId="1421" xr:uid="{D7317532-54C9-4663-ACEA-683768639F20}"/>
    <cellStyle name="Normal 9 3 2 2 3" xfId="1004" xr:uid="{00000000-0005-0000-0000-0000C1030000}"/>
    <cellStyle name="Normal 9 3 2 2 3 2" xfId="4064" xr:uid="{7A04BADD-B0EF-48E8-9DE1-54B25AE0FD0E}"/>
    <cellStyle name="Normal 9 3 2 2 3 2 2" xfId="8282" xr:uid="{EA2751B3-63A2-4027-9291-831C2D75C89B}"/>
    <cellStyle name="Normal 9 3 2 2 3 3" xfId="6137" xr:uid="{A26329CF-B766-4C4D-B7F3-A07347650AF9}"/>
    <cellStyle name="Normal 9 3 2 2 3 4" xfId="1835" xr:uid="{0D5C5D54-A63A-4294-BA6F-7A9D28E81C9D}"/>
    <cellStyle name="Normal 9 3 2 2 4" xfId="2248" xr:uid="{C4B79386-B32D-4CEC-A91F-AA10AF4BAAB3}"/>
    <cellStyle name="Normal 9 3 2 2 4 2" xfId="4477" xr:uid="{65B48D1F-38E4-4F36-997E-F54F647DC598}"/>
    <cellStyle name="Normal 9 3 2 2 4 2 2" xfId="8695" xr:uid="{67ADC30A-9BB1-42B1-825E-5A407F1128EC}"/>
    <cellStyle name="Normal 9 3 2 2 4 3" xfId="6550" xr:uid="{7C11A648-C25D-426A-9CE6-9D7D9243BE4F}"/>
    <cellStyle name="Normal 9 3 2 2 5" xfId="2661" xr:uid="{FBABD31A-AB70-4AB8-AF4F-9EB64A94F9AB}"/>
    <cellStyle name="Normal 9 3 2 2 5 2" xfId="4890" xr:uid="{59C5888C-D789-458A-8ED0-EA563E36BCBC}"/>
    <cellStyle name="Normal 9 3 2 2 5 2 2" xfId="9108" xr:uid="{45D700C5-350F-47BD-B80C-A90BECF344D0}"/>
    <cellStyle name="Normal 9 3 2 2 5 3" xfId="6963" xr:uid="{D822E13C-E915-405E-BF58-9CA649C8F43A}"/>
    <cellStyle name="Normal 9 3 2 2 6" xfId="3074" xr:uid="{5951E47A-D192-473F-8B3C-C51C02638BFA}"/>
    <cellStyle name="Normal 9 3 2 2 6 2" xfId="5303" xr:uid="{44926C76-7E31-4402-8407-06506E244D3F}"/>
    <cellStyle name="Normal 9 3 2 2 6 2 2" xfId="9521" xr:uid="{3BE4ABF2-E7D6-4E15-82CE-B68FD768B118}"/>
    <cellStyle name="Normal 9 3 2 2 6 3" xfId="7376" xr:uid="{3CFB62C4-8D2A-4230-ADE2-FBCF0A516C63}"/>
    <cellStyle name="Normal 9 3 2 2 7" xfId="3510" xr:uid="{317F764E-E248-4499-9451-371FFEBD6FAB}"/>
    <cellStyle name="Normal 9 3 2 2 7 2" xfId="7789" xr:uid="{E4E9A54B-FE07-4F73-A6E6-E41F2C675B6C}"/>
    <cellStyle name="Normal 9 3 2 2 8" xfId="5724" xr:uid="{D1BCA4AD-B121-440D-9244-304FD505FB19}"/>
    <cellStyle name="Normal 9 3 2 2 9" xfId="1420" xr:uid="{63D064AC-6908-49D5-AD76-3AA22CF4C8D0}"/>
    <cellStyle name="Normal 9 3 2 3" xfId="534" xr:uid="{00000000-0005-0000-0000-0000C2030000}"/>
    <cellStyle name="Normal 9 3 2 3 2" xfId="1006" xr:uid="{00000000-0005-0000-0000-0000C3030000}"/>
    <cellStyle name="Normal 9 3 2 3 2 2" xfId="4066" xr:uid="{29E1862A-22B1-42E8-B6A5-1600677326ED}"/>
    <cellStyle name="Normal 9 3 2 3 2 2 2" xfId="8284" xr:uid="{777F4F40-252F-4E21-925F-24554136B8D4}"/>
    <cellStyle name="Normal 9 3 2 3 2 3" xfId="6139" xr:uid="{4ECDF2FD-05A2-4F4E-B60C-62346754A4DC}"/>
    <cellStyle name="Normal 9 3 2 3 2 4" xfId="1837" xr:uid="{95B0F7F4-6459-43EC-9357-E58E7EE396CC}"/>
    <cellStyle name="Normal 9 3 2 3 3" xfId="2250" xr:uid="{F6AD0C14-A133-4FA9-9C69-5AD1EC729FCD}"/>
    <cellStyle name="Normal 9 3 2 3 3 2" xfId="4479" xr:uid="{CC14D257-DD56-464C-BB96-7DA271DEC21A}"/>
    <cellStyle name="Normal 9 3 2 3 3 2 2" xfId="8697" xr:uid="{2AFDD3E8-BD04-47B8-9B75-BAFFF530EE52}"/>
    <cellStyle name="Normal 9 3 2 3 3 3" xfId="6552" xr:uid="{99778564-81BE-4173-9488-64D32933E56F}"/>
    <cellStyle name="Normal 9 3 2 3 4" xfId="2663" xr:uid="{2C76EF0C-FC27-4BCE-B67F-565B0BE041D4}"/>
    <cellStyle name="Normal 9 3 2 3 4 2" xfId="4892" xr:uid="{7654CB3C-882A-4275-817F-F1E50A00495D}"/>
    <cellStyle name="Normal 9 3 2 3 4 2 2" xfId="9110" xr:uid="{971D23C3-1C30-4832-B4AA-921E11030339}"/>
    <cellStyle name="Normal 9 3 2 3 4 3" xfId="6965" xr:uid="{4A5752F7-FBD5-45BC-962B-CD719549B678}"/>
    <cellStyle name="Normal 9 3 2 3 5" xfId="3076" xr:uid="{54DA3AEB-4C73-4412-AA29-1F2B580FBDF5}"/>
    <cellStyle name="Normal 9 3 2 3 5 2" xfId="5305" xr:uid="{82ED684D-134F-4785-BB63-28B75313BB23}"/>
    <cellStyle name="Normal 9 3 2 3 5 2 2" xfId="9523" xr:uid="{74049556-F00A-423B-85A6-33868EBE7794}"/>
    <cellStyle name="Normal 9 3 2 3 5 3" xfId="7378" xr:uid="{26F04423-EEEA-4105-A3D0-DC7307BE5379}"/>
    <cellStyle name="Normal 9 3 2 3 6" xfId="3512" xr:uid="{2CCE044C-0391-4C62-AABB-3C9A3F808185}"/>
    <cellStyle name="Normal 9 3 2 3 6 2" xfId="7791" xr:uid="{AB6D5155-1B77-47F0-9962-AB52202B183F}"/>
    <cellStyle name="Normal 9 3 2 3 7" xfId="5726" xr:uid="{C73ACF2F-B2B9-4340-94FD-965F10D2D778}"/>
    <cellStyle name="Normal 9 3 2 3 8" xfId="1422" xr:uid="{9DE04E75-F444-4334-ACAC-EC3CF1B06E59}"/>
    <cellStyle name="Normal 9 3 2 4" xfId="1003" xr:uid="{00000000-0005-0000-0000-0000C4030000}"/>
    <cellStyle name="Normal 9 3 2 4 2" xfId="4063" xr:uid="{9E25B15D-904D-411C-BE34-C10F33C8978A}"/>
    <cellStyle name="Normal 9 3 2 4 2 2" xfId="8281" xr:uid="{9BDD1AEE-D1C0-45DD-87BC-BDB3E288A593}"/>
    <cellStyle name="Normal 9 3 2 4 3" xfId="6136" xr:uid="{6F9B983E-A378-4A44-9D61-4228DE6AD20E}"/>
    <cellStyle name="Normal 9 3 2 4 4" xfId="1834" xr:uid="{CD204FE8-560C-4E49-B9B1-F2D3E1F6971C}"/>
    <cellStyle name="Normal 9 3 2 5" xfId="2247" xr:uid="{65C6C789-844F-401B-8FD8-B9243B448B18}"/>
    <cellStyle name="Normal 9 3 2 5 2" xfId="4476" xr:uid="{FD1D4ABE-C2E2-438F-8BBC-DEB078DB5D98}"/>
    <cellStyle name="Normal 9 3 2 5 2 2" xfId="8694" xr:uid="{2707E025-8009-4619-8D7A-FC1C3F34E453}"/>
    <cellStyle name="Normal 9 3 2 5 3" xfId="6549" xr:uid="{BF337B58-C5D0-47A7-A785-47EE84CA5442}"/>
    <cellStyle name="Normal 9 3 2 6" xfId="2660" xr:uid="{647FFEFF-6FA8-4465-A19B-7201BFFC6F68}"/>
    <cellStyle name="Normal 9 3 2 6 2" xfId="4889" xr:uid="{482FEE13-C94A-443B-81E4-06671B89329C}"/>
    <cellStyle name="Normal 9 3 2 6 2 2" xfId="9107" xr:uid="{32A4C558-D755-4925-B8CA-BD96E87B51C3}"/>
    <cellStyle name="Normal 9 3 2 6 3" xfId="6962" xr:uid="{CC3C38D7-86CF-4469-8EB5-18FB054423B4}"/>
    <cellStyle name="Normal 9 3 2 7" xfId="3073" xr:uid="{95B146CE-48F4-4E84-82A4-988D65D7D4DA}"/>
    <cellStyle name="Normal 9 3 2 7 2" xfId="5302" xr:uid="{17FDBD95-25FB-454C-9CD1-A22B8951BC12}"/>
    <cellStyle name="Normal 9 3 2 7 2 2" xfId="9520" xr:uid="{0A12D8FC-E3D9-4178-838F-D62C3CBF929C}"/>
    <cellStyle name="Normal 9 3 2 7 3" xfId="7375" xr:uid="{FC0B12F0-7208-4752-8195-AB513A3EA56A}"/>
    <cellStyle name="Normal 9 3 2 8" xfId="3509" xr:uid="{D1FA2C81-109A-4B7D-8A7D-07C96BF7D6D4}"/>
    <cellStyle name="Normal 9 3 2 8 2" xfId="7788" xr:uid="{4899CCE1-7B3E-4611-8124-9A36F154D94E}"/>
    <cellStyle name="Normal 9 3 2 9" xfId="5723" xr:uid="{003F8197-B323-46DB-87D4-48BCB8C189CE}"/>
    <cellStyle name="Normal 9 3 3" xfId="535" xr:uid="{00000000-0005-0000-0000-0000C5030000}"/>
    <cellStyle name="Normal 9 3 3 2" xfId="536" xr:uid="{00000000-0005-0000-0000-0000C6030000}"/>
    <cellStyle name="Normal 9 3 3 2 2" xfId="1008" xr:uid="{00000000-0005-0000-0000-0000C7030000}"/>
    <cellStyle name="Normal 9 3 3 2 2 2" xfId="4068" xr:uid="{5BFF2791-2A99-40EC-806E-974BBA512F6F}"/>
    <cellStyle name="Normal 9 3 3 2 2 2 2" xfId="8286" xr:uid="{39215670-F093-4A79-8E72-BDF09DFFFB9B}"/>
    <cellStyle name="Normal 9 3 3 2 2 3" xfId="6141" xr:uid="{A0DDB67C-4131-4178-A8C7-FF1BDB52490C}"/>
    <cellStyle name="Normal 9 3 3 2 2 4" xfId="1839" xr:uid="{6F5D02B6-9CF5-427B-A07F-802FE68F2550}"/>
    <cellStyle name="Normal 9 3 3 2 3" xfId="2252" xr:uid="{88FA4F4C-C2E3-4343-B8B3-20D49F45A940}"/>
    <cellStyle name="Normal 9 3 3 2 3 2" xfId="4481" xr:uid="{1ED17B00-D18E-49FE-8B45-D78C9CFA50E7}"/>
    <cellStyle name="Normal 9 3 3 2 3 2 2" xfId="8699" xr:uid="{D2412592-E967-47F1-B2A3-FD7B36DCB14D}"/>
    <cellStyle name="Normal 9 3 3 2 3 3" xfId="6554" xr:uid="{35F39900-D87C-4054-AA93-1C5043E0936F}"/>
    <cellStyle name="Normal 9 3 3 2 4" xfId="2665" xr:uid="{9EAB5959-B8F7-4A64-95D7-1D99732F744B}"/>
    <cellStyle name="Normal 9 3 3 2 4 2" xfId="4894" xr:uid="{04C92788-B621-4A72-89DE-A4E184CC32D0}"/>
    <cellStyle name="Normal 9 3 3 2 4 2 2" xfId="9112" xr:uid="{564D507D-E3E5-499E-963C-77DA1D34A480}"/>
    <cellStyle name="Normal 9 3 3 2 4 3" xfId="6967" xr:uid="{18B2C740-832A-4E23-9C0E-CCE07F757C2E}"/>
    <cellStyle name="Normal 9 3 3 2 5" xfId="3078" xr:uid="{4C2CD623-7694-48E6-B93D-3009842EE95F}"/>
    <cellStyle name="Normal 9 3 3 2 5 2" xfId="5307" xr:uid="{3AD738A3-5BA6-4701-B772-C992C777AE13}"/>
    <cellStyle name="Normal 9 3 3 2 5 2 2" xfId="9525" xr:uid="{FD6A1902-1A60-415A-8B5F-5340356C5941}"/>
    <cellStyle name="Normal 9 3 3 2 5 3" xfId="7380" xr:uid="{4C2C231C-090C-45E5-8F48-45539EBE511A}"/>
    <cellStyle name="Normal 9 3 3 2 6" xfId="3514" xr:uid="{0F8A13F4-D88F-431A-A52A-F48468FD1C36}"/>
    <cellStyle name="Normal 9 3 3 2 6 2" xfId="7793" xr:uid="{E7C51221-B0C1-4BC1-BA8C-33F9999E84BA}"/>
    <cellStyle name="Normal 9 3 3 2 7" xfId="5728" xr:uid="{B3C53FEA-B0D1-4502-886B-FA59E9BC7452}"/>
    <cellStyle name="Normal 9 3 3 2 8" xfId="1424" xr:uid="{E4DEB836-5618-469C-B2E5-0FC13CBD8847}"/>
    <cellStyle name="Normal 9 3 3 3" xfId="1007" xr:uid="{00000000-0005-0000-0000-0000C8030000}"/>
    <cellStyle name="Normal 9 3 3 3 2" xfId="4067" xr:uid="{8021A385-6F9A-4C00-A135-8BBCF44F2469}"/>
    <cellStyle name="Normal 9 3 3 3 2 2" xfId="8285" xr:uid="{7784EE89-27E9-4E4D-8E5E-4F3AE37363DD}"/>
    <cellStyle name="Normal 9 3 3 3 3" xfId="6140" xr:uid="{27424465-CABC-4B2E-B9F9-5204E7EF1252}"/>
    <cellStyle name="Normal 9 3 3 3 4" xfId="1838" xr:uid="{15DB73C9-E8AD-416C-BE29-D747FCCB3E41}"/>
    <cellStyle name="Normal 9 3 3 4" xfId="2251" xr:uid="{721F53F4-687A-48CC-A9AB-17B6569FF3F5}"/>
    <cellStyle name="Normal 9 3 3 4 2" xfId="4480" xr:uid="{3CB07E35-F87B-4365-ACC1-E85F2396DBE1}"/>
    <cellStyle name="Normal 9 3 3 4 2 2" xfId="8698" xr:uid="{2F1AA949-26B3-4E84-A345-285E2C51F6A6}"/>
    <cellStyle name="Normal 9 3 3 4 3" xfId="6553" xr:uid="{367BF2F6-59DC-4C3B-96A9-301026DCD262}"/>
    <cellStyle name="Normal 9 3 3 5" xfId="2664" xr:uid="{7410D3CC-3834-479A-B543-C9DCFFAEA490}"/>
    <cellStyle name="Normal 9 3 3 5 2" xfId="4893" xr:uid="{1025B5FA-D347-426B-A7EB-05492DD63290}"/>
    <cellStyle name="Normal 9 3 3 5 2 2" xfId="9111" xr:uid="{E06BBE4D-82BA-45A4-AECA-5B49C7179AAA}"/>
    <cellStyle name="Normal 9 3 3 5 3" xfId="6966" xr:uid="{6C9FB745-F761-4EC8-B86A-45C2CFBA928D}"/>
    <cellStyle name="Normal 9 3 3 6" xfId="3077" xr:uid="{1A23E097-2695-4EB7-8DBC-E4776DCFC996}"/>
    <cellStyle name="Normal 9 3 3 6 2" xfId="5306" xr:uid="{C7990BBB-DBA3-4175-9848-CC62E357E609}"/>
    <cellStyle name="Normal 9 3 3 6 2 2" xfId="9524" xr:uid="{56B2FC20-EA86-45F7-8670-8E91EB2E738F}"/>
    <cellStyle name="Normal 9 3 3 6 3" xfId="7379" xr:uid="{4DD784BE-4CD7-44D1-8700-0A2AC74253D7}"/>
    <cellStyle name="Normal 9 3 3 7" xfId="3513" xr:uid="{6F635DDA-0249-41DB-9C4E-2AA34A7B2D52}"/>
    <cellStyle name="Normal 9 3 3 7 2" xfId="7792" xr:uid="{09564E55-B94D-4BBC-AF01-9FED725D3CC6}"/>
    <cellStyle name="Normal 9 3 3 8" xfId="5727" xr:uid="{A24E042D-E244-4DE9-90A2-03780A5CDCDE}"/>
    <cellStyle name="Normal 9 3 3 9" xfId="1423" xr:uid="{0A948361-2758-419C-B198-EC7A8CC08B23}"/>
    <cellStyle name="Normal 9 3 4" xfId="537" xr:uid="{00000000-0005-0000-0000-0000C9030000}"/>
    <cellStyle name="Normal 9 3 4 2" xfId="1009" xr:uid="{00000000-0005-0000-0000-0000CA030000}"/>
    <cellStyle name="Normal 9 3 4 2 2" xfId="4069" xr:uid="{8DD438B3-8411-44BA-A49C-C87E0E2E401E}"/>
    <cellStyle name="Normal 9 3 4 2 2 2" xfId="8287" xr:uid="{1368BDFF-406D-4A86-A3BC-E0E1D985A891}"/>
    <cellStyle name="Normal 9 3 4 2 3" xfId="6142" xr:uid="{90320891-7F9E-4FA2-A1C3-058466F25938}"/>
    <cellStyle name="Normal 9 3 4 2 4" xfId="1840" xr:uid="{7C6F03BC-EB48-43DD-B80F-D3E82AACFD4C}"/>
    <cellStyle name="Normal 9 3 4 3" xfId="2253" xr:uid="{50A9A5AC-9642-40E0-A233-7A6560CD9BF0}"/>
    <cellStyle name="Normal 9 3 4 3 2" xfId="4482" xr:uid="{535EC1C6-5A6E-4D41-9AC2-35A3B5C957CC}"/>
    <cellStyle name="Normal 9 3 4 3 2 2" xfId="8700" xr:uid="{6B116B06-063B-4530-9595-3910CEE535B0}"/>
    <cellStyle name="Normal 9 3 4 3 3" xfId="6555" xr:uid="{C95A338A-3AC2-4E62-A491-8A331CF2B014}"/>
    <cellStyle name="Normal 9 3 4 4" xfId="2666" xr:uid="{D7B8D46C-86DE-40AA-A8AC-25DA921A4163}"/>
    <cellStyle name="Normal 9 3 4 4 2" xfId="4895" xr:uid="{34A387DC-1D8F-414B-92E2-1220AC715C74}"/>
    <cellStyle name="Normal 9 3 4 4 2 2" xfId="9113" xr:uid="{3AC50DEF-395D-4382-B596-C88258C06A3A}"/>
    <cellStyle name="Normal 9 3 4 4 3" xfId="6968" xr:uid="{2A2BE481-E635-4D3D-AE3B-02015CD62A99}"/>
    <cellStyle name="Normal 9 3 4 5" xfId="3079" xr:uid="{D4BA7354-50A8-4D95-8767-3E9AE0B97452}"/>
    <cellStyle name="Normal 9 3 4 5 2" xfId="5308" xr:uid="{0635B32F-D7B7-4FD7-9CA3-2C7FAD60DEE3}"/>
    <cellStyle name="Normal 9 3 4 5 2 2" xfId="9526" xr:uid="{8E2026F3-3178-405E-8C0A-ECD5BA12E546}"/>
    <cellStyle name="Normal 9 3 4 5 3" xfId="7381" xr:uid="{5DCC7030-3D19-4293-BF4A-072869BA864B}"/>
    <cellStyle name="Normal 9 3 4 6" xfId="3515" xr:uid="{21F536AC-4DAD-4353-8DA3-E3108CE401BD}"/>
    <cellStyle name="Normal 9 3 4 6 2" xfId="7794" xr:uid="{A7DA2B08-6E53-4851-8EC5-102DDD1F65A5}"/>
    <cellStyle name="Normal 9 3 4 7" xfId="5729" xr:uid="{DAC9EAAB-6578-4ADC-8E14-65C661A4B47A}"/>
    <cellStyle name="Normal 9 3 4 8" xfId="1425" xr:uid="{A39CBE0B-4237-4B02-9682-DDA4B5D1B967}"/>
    <cellStyle name="Normal 9 3 5" xfId="1002" xr:uid="{00000000-0005-0000-0000-0000CB030000}"/>
    <cellStyle name="Normal 9 3 5 2" xfId="4062" xr:uid="{01F5CB77-71AB-459D-870E-11DD787C9CEA}"/>
    <cellStyle name="Normal 9 3 5 2 2" xfId="8280" xr:uid="{7ABD4E3F-35E2-4F8E-8F6F-C2026BBEBEE5}"/>
    <cellStyle name="Normal 9 3 5 3" xfId="6135" xr:uid="{913F8500-7359-49AA-9614-243C98653373}"/>
    <cellStyle name="Normal 9 3 5 4" xfId="1833" xr:uid="{0C7B7A75-ED19-4C3C-9A33-60749023F48B}"/>
    <cellStyle name="Normal 9 3 6" xfId="2246" xr:uid="{4D6BD858-F534-4BDD-8678-38F9748D95EC}"/>
    <cellStyle name="Normal 9 3 6 2" xfId="4475" xr:uid="{438F2418-0AD3-4339-AD58-1A9A67A925AF}"/>
    <cellStyle name="Normal 9 3 6 2 2" xfId="8693" xr:uid="{9FD5DD72-F7EC-4AE9-A841-28164AB78CF1}"/>
    <cellStyle name="Normal 9 3 6 3" xfId="6548" xr:uid="{4789755C-239A-41CB-95FD-36EA707C8A85}"/>
    <cellStyle name="Normal 9 3 7" xfId="2659" xr:uid="{1E659035-EB74-4058-B0FD-CFCD664CE5EE}"/>
    <cellStyle name="Normal 9 3 7 2" xfId="4888" xr:uid="{BAC23CFD-67BC-4AF1-8EEB-3E8735E1DF46}"/>
    <cellStyle name="Normal 9 3 7 2 2" xfId="9106" xr:uid="{50E4FC86-BBBA-4EE4-BB6C-13C9CC82B1CA}"/>
    <cellStyle name="Normal 9 3 7 3" xfId="6961" xr:uid="{F33ABDEF-F642-4E03-9404-50F903202AEF}"/>
    <cellStyle name="Normal 9 3 8" xfId="3072" xr:uid="{5CBB4D82-4637-487D-8C35-818D3FC8AF03}"/>
    <cellStyle name="Normal 9 3 8 2" xfId="5301" xr:uid="{E1117503-5D8D-48C2-9319-83BF4FE35625}"/>
    <cellStyle name="Normal 9 3 8 2 2" xfId="9519" xr:uid="{1D1F3411-C4F9-4224-A4D0-8C7A4CEA659C}"/>
    <cellStyle name="Normal 9 3 8 3" xfId="7374" xr:uid="{2D71E105-993A-4B7A-B79B-95769DEBD1EF}"/>
    <cellStyle name="Normal 9 3 9" xfId="3508" xr:uid="{EC9346DC-00DC-4E1C-B650-7028A75C0AC6}"/>
    <cellStyle name="Normal 9 3 9 2" xfId="7787" xr:uid="{AEC34129-C96D-42E1-AFA9-8DD00FCFF09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4071" xr:uid="{6E0D8413-E918-407E-8635-45CB543788BC}"/>
    <cellStyle name="Normal 9 5 2 2 2 2" xfId="8289" xr:uid="{E2BC22FC-A087-465D-9294-A140415998D5}"/>
    <cellStyle name="Normal 9 5 2 2 3" xfId="6144" xr:uid="{5296DD9D-9A61-4918-8A98-A58094E6DB8C}"/>
    <cellStyle name="Normal 9 5 2 2 4" xfId="1842" xr:uid="{66FD4601-5E0B-4D05-A077-553E94CD611E}"/>
    <cellStyle name="Normal 9 5 2 3" xfId="2255" xr:uid="{D1E7D9F8-A1C6-4A58-83C0-D1B86EF041AD}"/>
    <cellStyle name="Normal 9 5 2 3 2" xfId="4484" xr:uid="{E3D3B654-DCB5-4776-9058-B8FAE5AE8A3F}"/>
    <cellStyle name="Normal 9 5 2 3 2 2" xfId="8702" xr:uid="{E9C186D7-C1A6-4D8D-8867-27F42C470765}"/>
    <cellStyle name="Normal 9 5 2 3 3" xfId="6557" xr:uid="{B3E56E2B-3618-4FD6-92F2-403CB15CBEED}"/>
    <cellStyle name="Normal 9 5 2 4" xfId="2668" xr:uid="{852C3F0D-D76F-4196-989E-883C565A39D1}"/>
    <cellStyle name="Normal 9 5 2 4 2" xfId="4897" xr:uid="{B9FA8510-A4F0-4441-9CE0-6555666F0783}"/>
    <cellStyle name="Normal 9 5 2 4 2 2" xfId="9115" xr:uid="{5733A5F2-9BAD-40C9-BEA0-8F8866B7E372}"/>
    <cellStyle name="Normal 9 5 2 4 3" xfId="6970" xr:uid="{5F7705EA-950B-4C42-AA6E-BE21E713F188}"/>
    <cellStyle name="Normal 9 5 2 5" xfId="3081" xr:uid="{71A37290-B21A-4C2B-B4BD-8D2FFB08F701}"/>
    <cellStyle name="Normal 9 5 2 5 2" xfId="5310" xr:uid="{E5092C91-0EEA-40FC-8402-F68CD3925882}"/>
    <cellStyle name="Normal 9 5 2 5 2 2" xfId="9528" xr:uid="{AA1AEDF5-2816-43B5-951B-807065471F61}"/>
    <cellStyle name="Normal 9 5 2 5 3" xfId="7383" xr:uid="{7A363590-60F2-4CFE-8720-AF8A126EA101}"/>
    <cellStyle name="Normal 9 5 2 6" xfId="3517" xr:uid="{0AAFC19D-276D-49D1-BD21-D93C539F99AF}"/>
    <cellStyle name="Normal 9 5 2 6 2" xfId="7796" xr:uid="{A6141F13-C8E9-4BDC-919B-7C6BBECDA155}"/>
    <cellStyle name="Normal 9 5 2 7" xfId="5731" xr:uid="{7CEC4C57-9F24-41D4-8D26-00AC93A78DB6}"/>
    <cellStyle name="Normal 9 5 2 8" xfId="1427" xr:uid="{0479C153-46D1-43F9-9B06-6A056981F67F}"/>
    <cellStyle name="Normal 9 5 3" xfId="1011" xr:uid="{00000000-0005-0000-0000-0000D1030000}"/>
    <cellStyle name="Normal 9 5 3 2" xfId="4070" xr:uid="{44E5E325-2406-4705-AAF5-AF0083C9CE19}"/>
    <cellStyle name="Normal 9 5 3 2 2" xfId="8288" xr:uid="{F0C3CE00-88AE-4627-9260-F76070364BF9}"/>
    <cellStyle name="Normal 9 5 3 3" xfId="6143" xr:uid="{18130C0E-6996-46D0-BAA6-D7DA7E8ADAFF}"/>
    <cellStyle name="Normal 9 5 3 4" xfId="1841" xr:uid="{99F3F887-953C-4EF2-A420-0423E7265263}"/>
    <cellStyle name="Normal 9 5 4" xfId="2254" xr:uid="{FFD8A1E2-C574-40B2-A884-F7EEFE96BCD2}"/>
    <cellStyle name="Normal 9 5 4 2" xfId="4483" xr:uid="{74C4FFC5-C06F-4B17-B06B-D966FBC34CF1}"/>
    <cellStyle name="Normal 9 5 4 2 2" xfId="8701" xr:uid="{02B59577-C4DD-4E96-BCF0-FE6171E36479}"/>
    <cellStyle name="Normal 9 5 4 3" xfId="6556" xr:uid="{DF37FC74-0C1E-475F-BDED-7A58E046A4C9}"/>
    <cellStyle name="Normal 9 5 5" xfId="2667" xr:uid="{6D79E392-5F26-471A-96A6-D14FDB686D36}"/>
    <cellStyle name="Normal 9 5 5 2" xfId="4896" xr:uid="{274FE685-A4DF-430E-B67B-9EFC9CFACBED}"/>
    <cellStyle name="Normal 9 5 5 2 2" xfId="9114" xr:uid="{534F85C9-460A-4B84-982B-ACB40E6B9763}"/>
    <cellStyle name="Normal 9 5 5 3" xfId="6969" xr:uid="{AA468199-77A0-4EBD-A56F-A6744F9C4278}"/>
    <cellStyle name="Normal 9 5 6" xfId="3080" xr:uid="{79094CAF-C3B8-46B1-8D7E-7DFB0AC8C670}"/>
    <cellStyle name="Normal 9 5 6 2" xfId="5309" xr:uid="{883C6980-246B-4902-951B-E3651B7A31B3}"/>
    <cellStyle name="Normal 9 5 6 2 2" xfId="9527" xr:uid="{733D7D21-66FE-48CC-91F3-C3296D8110EF}"/>
    <cellStyle name="Normal 9 5 6 3" xfId="7382" xr:uid="{12EA9EEA-3006-4677-87CA-7F7CA671141F}"/>
    <cellStyle name="Normal 9 5 7" xfId="3516" xr:uid="{676CE753-85EC-4020-9554-D2F59A47B083}"/>
    <cellStyle name="Normal 9 5 7 2" xfId="7795" xr:uid="{97E0FAC6-E32D-4688-89B2-EF5ECCA921E9}"/>
    <cellStyle name="Normal 9 5 8" xfId="5730" xr:uid="{CC6F164A-C83C-4526-9705-6794040761C6}"/>
    <cellStyle name="Normal 9 5 9" xfId="1426" xr:uid="{D57B0019-B06E-477A-B860-0E12C7A6A5FF}"/>
    <cellStyle name="Normal 9 6" xfId="541" xr:uid="{00000000-0005-0000-0000-0000D2030000}"/>
    <cellStyle name="Normal 9 6 2" xfId="1013" xr:uid="{00000000-0005-0000-0000-0000D3030000}"/>
    <cellStyle name="Normal 9 6 2 2" xfId="4072" xr:uid="{23A6B30F-C009-4C1A-9565-7A30F1B96B8F}"/>
    <cellStyle name="Normal 9 6 2 2 2" xfId="8290" xr:uid="{7EB162FD-F161-48D2-B7A6-94A7E2B47A19}"/>
    <cellStyle name="Normal 9 6 2 3" xfId="6145" xr:uid="{4FB5FF20-B216-4719-BEA7-14D8EFD5A117}"/>
    <cellStyle name="Normal 9 6 2 4" xfId="1843" xr:uid="{241D27A8-9737-446C-8FB3-EA5F3789563F}"/>
    <cellStyle name="Normal 9 6 3" xfId="2256" xr:uid="{EBB9BA5D-55FC-4975-B4D2-D64BE0B822D9}"/>
    <cellStyle name="Normal 9 6 3 2" xfId="4485" xr:uid="{B0AE2E98-0685-4C50-85CE-EECD5E0896ED}"/>
    <cellStyle name="Normal 9 6 3 2 2" xfId="8703" xr:uid="{19340CB8-8BFE-4F60-9683-3576F0812A64}"/>
    <cellStyle name="Normal 9 6 3 3" xfId="6558" xr:uid="{CBA86805-BFC8-4EE8-9769-EF02C4157D54}"/>
    <cellStyle name="Normal 9 6 4" xfId="2669" xr:uid="{971B7110-E45C-41EA-B939-977AFE1A2D94}"/>
    <cellStyle name="Normal 9 6 4 2" xfId="4898" xr:uid="{B458DA55-12B6-4464-822F-AD91366EA363}"/>
    <cellStyle name="Normal 9 6 4 2 2" xfId="9116" xr:uid="{DC278FDD-5A0E-4328-8D7A-6AE87AABF533}"/>
    <cellStyle name="Normal 9 6 4 3" xfId="6971" xr:uid="{99F6B134-AF5A-49B1-BC98-564471FFBAAE}"/>
    <cellStyle name="Normal 9 6 5" xfId="3082" xr:uid="{09EDAF76-3E6E-4703-9FCB-9E587E7F92CC}"/>
    <cellStyle name="Normal 9 6 5 2" xfId="5311" xr:uid="{1344ED20-9DE6-458C-A20F-E0BD16F1BE7C}"/>
    <cellStyle name="Normal 9 6 5 2 2" xfId="9529" xr:uid="{7C9B5B89-7BDF-4266-A9A1-09BDC0F2FCB7}"/>
    <cellStyle name="Normal 9 6 5 3" xfId="7384" xr:uid="{79FC7D9F-7077-4D36-A50D-196C95A1C630}"/>
    <cellStyle name="Normal 9 6 6" xfId="3518" xr:uid="{0265C563-281B-46BA-B2FC-380AACE801AC}"/>
    <cellStyle name="Normal 9 6 6 2" xfId="7797" xr:uid="{D40714C5-C15C-4A04-9D0B-53BEAB034CE7}"/>
    <cellStyle name="Normal 9 6 7" xfId="5732" xr:uid="{D3B0AA10-D94C-4E4A-8474-B98183780074}"/>
    <cellStyle name="Normal 9 6 8" xfId="1428" xr:uid="{E5334573-4845-4DB3-B95F-8345A675AE34}"/>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10" xfId="3659" xr:uid="{24C39942-2C30-431A-8665-E3926A9B11BB}"/>
    <cellStyle name="Note 2 2 10 2" xfId="7878" xr:uid="{6D500D52-383C-44F8-9D2E-CDF16DE86576}"/>
    <cellStyle name="Note 2 2 11" xfId="5733" xr:uid="{2735980F-4FCD-4631-9BF9-2CBAF26F1A4D}"/>
    <cellStyle name="Note 2 2 12" xfId="1429" xr:uid="{D331B6CC-A958-4316-8F8E-21E0758A1FBA}"/>
    <cellStyle name="Note 2 2 2" xfId="550" xr:uid="{00000000-0005-0000-0000-0000DD030000}"/>
    <cellStyle name="Note 2 2 2 10" xfId="5734" xr:uid="{9A15492D-1675-49FB-BFD1-AFD32E6CC0ED}"/>
    <cellStyle name="Note 2 2 2 11" xfId="1430" xr:uid="{B85E3F4B-83A0-4E74-833F-645F456ED667}"/>
    <cellStyle name="Note 2 2 2 2" xfId="551" xr:uid="{00000000-0005-0000-0000-0000DE030000}"/>
    <cellStyle name="Note 2 2 2 2 10" xfId="1431" xr:uid="{CA012D47-AFC9-4D7B-8DB3-75FB3A918439}"/>
    <cellStyle name="Note 2 2 2 2 2" xfId="1016" xr:uid="{00000000-0005-0000-0000-0000DF030000}"/>
    <cellStyle name="Note 2 2 2 2 2 2" xfId="4075" xr:uid="{B943A08F-49E8-48E2-85E3-317B608E6C72}"/>
    <cellStyle name="Note 2 2 2 2 2 2 2" xfId="8293" xr:uid="{0B31D585-94F7-4542-93B3-658CA58EFE3B}"/>
    <cellStyle name="Note 2 2 2 2 2 3" xfId="6148" xr:uid="{D0E6A830-A3E6-4028-9AF2-2B3F4680E42F}"/>
    <cellStyle name="Note 2 2 2 2 2 4" xfId="1846" xr:uid="{DB38E662-9217-4454-A046-242226FF3217}"/>
    <cellStyle name="Note 2 2 2 2 3" xfId="2259" xr:uid="{2DFE3EAB-18BE-41FE-AD04-B876DDDC2940}"/>
    <cellStyle name="Note 2 2 2 2 3 2" xfId="4488" xr:uid="{DD7F5B2E-B132-451B-95E6-7A2A8BFD0111}"/>
    <cellStyle name="Note 2 2 2 2 3 2 2" xfId="8706" xr:uid="{6EF3980F-A5BA-4669-961D-AAC9F4C77C2A}"/>
    <cellStyle name="Note 2 2 2 2 3 3" xfId="6561" xr:uid="{F278F41C-E921-4D08-B638-ED5FE5954E2B}"/>
    <cellStyle name="Note 2 2 2 2 4" xfId="2672" xr:uid="{7D39DEAF-F7B7-4B28-83EF-0CA524BE8E4E}"/>
    <cellStyle name="Note 2 2 2 2 4 2" xfId="4901" xr:uid="{AF010F09-2FF9-4B79-A480-FBE13B77C74B}"/>
    <cellStyle name="Note 2 2 2 2 4 2 2" xfId="9119" xr:uid="{D0E61665-8888-461A-BEB8-8F9829DEC17D}"/>
    <cellStyle name="Note 2 2 2 2 4 3" xfId="6974" xr:uid="{0DB68863-7F99-43AA-9AF7-AF9F95A14754}"/>
    <cellStyle name="Note 2 2 2 2 5" xfId="3085" xr:uid="{D721E6D8-142A-4ACD-B23A-58369498BC0C}"/>
    <cellStyle name="Note 2 2 2 2 5 2" xfId="5314" xr:uid="{2A94E212-6B73-4918-AFDC-0B5BD94F65DD}"/>
    <cellStyle name="Note 2 2 2 2 5 2 2" xfId="9532" xr:uid="{9E51F0D3-A184-4C8D-82D6-6972A9663B3C}"/>
    <cellStyle name="Note 2 2 2 2 5 3" xfId="7387" xr:uid="{82ADA7DF-0C93-4B84-8F2F-DCBE41D0D885}"/>
    <cellStyle name="Note 2 2 2 2 6" xfId="3521" xr:uid="{6F65E38A-33B3-4C3B-9D67-EAF2FCCB30C0}"/>
    <cellStyle name="Note 2 2 2 2 6 2" xfId="7800" xr:uid="{02534B6C-033F-46B9-8A79-0465B2EA0B73}"/>
    <cellStyle name="Note 2 2 2 2 7" xfId="3580" xr:uid="{3DE2486E-302E-4AE7-B2C9-62E6BA66C385}"/>
    <cellStyle name="Note 2 2 2 2 8" xfId="3661" xr:uid="{4CC98893-1781-40CD-B043-279F23EBCA48}"/>
    <cellStyle name="Note 2 2 2 2 8 2" xfId="7880" xr:uid="{C7478FAE-3C19-4274-BF8B-7BF21B6D9473}"/>
    <cellStyle name="Note 2 2 2 2 9" xfId="5735" xr:uid="{FCB07635-BBAC-4CF1-BB90-EF62447F8A87}"/>
    <cellStyle name="Note 2 2 2 3" xfId="1015" xr:uid="{00000000-0005-0000-0000-0000E0030000}"/>
    <cellStyle name="Note 2 2 2 3 2" xfId="4074" xr:uid="{E9458CDA-1FC4-4589-9798-5B0207B1DA91}"/>
    <cellStyle name="Note 2 2 2 3 2 2" xfId="8292" xr:uid="{2048F91B-D694-4BCB-BF32-D60F47F55863}"/>
    <cellStyle name="Note 2 2 2 3 3" xfId="6147" xr:uid="{3C7E706E-6875-4CC3-8FBF-34984BF3A8DA}"/>
    <cellStyle name="Note 2 2 2 3 4" xfId="1845" xr:uid="{6BD20917-CA9A-41CF-94EF-3A047FE610F3}"/>
    <cellStyle name="Note 2 2 2 4" xfId="2258" xr:uid="{5784B2D6-708B-47BF-9F50-C0E314137B03}"/>
    <cellStyle name="Note 2 2 2 4 2" xfId="4487" xr:uid="{AF1AD41D-5F44-45B7-9B62-A670EB27721F}"/>
    <cellStyle name="Note 2 2 2 4 2 2" xfId="8705" xr:uid="{EEF6BF43-AC9B-46F5-8A99-602FFF0192A1}"/>
    <cellStyle name="Note 2 2 2 4 3" xfId="6560" xr:uid="{D151B5E5-3F5C-425F-B266-CAC02BE85BA1}"/>
    <cellStyle name="Note 2 2 2 5" xfId="2671" xr:uid="{25F252A2-64A4-4F01-89B1-7901EDEFD7D2}"/>
    <cellStyle name="Note 2 2 2 5 2" xfId="4900" xr:uid="{3FFAFF44-E131-448A-A739-0F0EB1C9DD90}"/>
    <cellStyle name="Note 2 2 2 5 2 2" xfId="9118" xr:uid="{4C9D2977-4EB4-42A7-8D76-BB8910EFD71C}"/>
    <cellStyle name="Note 2 2 2 5 3" xfId="6973" xr:uid="{F1A9B2CE-D209-4FF7-8649-DC9D2A3CD088}"/>
    <cellStyle name="Note 2 2 2 6" xfId="3084" xr:uid="{93FE5455-0690-4FC0-B900-865F75EE99C2}"/>
    <cellStyle name="Note 2 2 2 6 2" xfId="5313" xr:uid="{A4925930-B5F3-46F3-B7F8-F376F1DCB517}"/>
    <cellStyle name="Note 2 2 2 6 2 2" xfId="9531" xr:uid="{2CBBEFC3-7227-468E-B1A1-2D633951CAD9}"/>
    <cellStyle name="Note 2 2 2 6 3" xfId="7386" xr:uid="{292ED9C1-5D22-4B96-AA48-734C5BC78BC5}"/>
    <cellStyle name="Note 2 2 2 7" xfId="3520" xr:uid="{224770DE-E0BA-48CE-9CAF-35FFE9D3F932}"/>
    <cellStyle name="Note 2 2 2 7 2" xfId="7799" xr:uid="{092230C2-D4C5-49BA-9F67-D71ADEAA6C9E}"/>
    <cellStyle name="Note 2 2 2 8" xfId="3579" xr:uid="{8EE4AFA3-7BBD-4FC3-91D3-091177871CDA}"/>
    <cellStyle name="Note 2 2 2 9" xfId="3660" xr:uid="{5EC02D68-4A00-481E-8ECC-0747C645EB27}"/>
    <cellStyle name="Note 2 2 2 9 2" xfId="7879" xr:uid="{A3A807BF-02D1-4957-B26C-8B406F87CA4B}"/>
    <cellStyle name="Note 2 2 3" xfId="552" xr:uid="{00000000-0005-0000-0000-0000E1030000}"/>
    <cellStyle name="Note 2 2 3 10" xfId="1432" xr:uid="{56CDC72D-BF64-42C2-8B8B-282249E27CB4}"/>
    <cellStyle name="Note 2 2 3 2" xfId="1017" xr:uid="{00000000-0005-0000-0000-0000E2030000}"/>
    <cellStyle name="Note 2 2 3 2 2" xfId="4076" xr:uid="{A7BADC75-C35E-42C4-9B30-655EBBC84656}"/>
    <cellStyle name="Note 2 2 3 2 2 2" xfId="8294" xr:uid="{8E633A07-52EC-4651-8DEC-8B3756C9723A}"/>
    <cellStyle name="Note 2 2 3 2 3" xfId="6149" xr:uid="{F09D0E41-8AB5-43E5-8B94-E91B6071CE4D}"/>
    <cellStyle name="Note 2 2 3 2 4" xfId="1847" xr:uid="{0F10D4C4-4FEC-43F7-BAB9-1A4D221B4689}"/>
    <cellStyle name="Note 2 2 3 3" xfId="2260" xr:uid="{05CDB4F3-4F8E-46E3-A843-03F687BE6DDC}"/>
    <cellStyle name="Note 2 2 3 3 2" xfId="4489" xr:uid="{D1A56B68-1847-4378-BE23-642CC7562D7E}"/>
    <cellStyle name="Note 2 2 3 3 2 2" xfId="8707" xr:uid="{0583D0C7-C28F-426C-931E-2EB0453337BB}"/>
    <cellStyle name="Note 2 2 3 3 3" xfId="6562" xr:uid="{20C28879-7B29-4028-A234-D6AFE455575F}"/>
    <cellStyle name="Note 2 2 3 4" xfId="2673" xr:uid="{AFCD252E-11C0-482C-87EC-B93E216D93EB}"/>
    <cellStyle name="Note 2 2 3 4 2" xfId="4902" xr:uid="{F272B76B-72D4-4098-89B3-7B8E01203F61}"/>
    <cellStyle name="Note 2 2 3 4 2 2" xfId="9120" xr:uid="{31CE90D4-2636-4F57-8DFF-303D6A74DD81}"/>
    <cellStyle name="Note 2 2 3 4 3" xfId="6975" xr:uid="{E5C2AA0A-9F45-4E2B-B9F9-7DE48BE678BE}"/>
    <cellStyle name="Note 2 2 3 5" xfId="3086" xr:uid="{A8DE6048-5474-48B4-8FBA-6F7E5E23836B}"/>
    <cellStyle name="Note 2 2 3 5 2" xfId="5315" xr:uid="{1FDC9298-F5EB-47C7-82C2-98D24E82541F}"/>
    <cellStyle name="Note 2 2 3 5 2 2" xfId="9533" xr:uid="{A22811DD-A1A8-4E32-83D1-A0D4CCA36AE9}"/>
    <cellStyle name="Note 2 2 3 5 3" xfId="7388" xr:uid="{78A60371-053A-4BA3-96B8-31E6A3E92BD6}"/>
    <cellStyle name="Note 2 2 3 6" xfId="3522" xr:uid="{63BE7642-FEB5-4581-9D26-8EAD5791EA8F}"/>
    <cellStyle name="Note 2 2 3 6 2" xfId="7801" xr:uid="{79CA3F23-F78A-410E-85FE-C9AD3FEEBC78}"/>
    <cellStyle name="Note 2 2 3 7" xfId="3581" xr:uid="{56CCE1DF-023C-4511-A06E-0192E7178986}"/>
    <cellStyle name="Note 2 2 3 8" xfId="3662" xr:uid="{37C0DAE5-BBD5-4D4B-AC43-4C16F58C9B14}"/>
    <cellStyle name="Note 2 2 3 8 2" xfId="7881" xr:uid="{7187EE62-95D5-4CFD-BB4F-5ECD91BBCC74}"/>
    <cellStyle name="Note 2 2 3 9" xfId="5736" xr:uid="{A3804852-DF7D-46C8-B1F6-63B01730F96C}"/>
    <cellStyle name="Note 2 2 4" xfId="1014" xr:uid="{00000000-0005-0000-0000-0000E3030000}"/>
    <cellStyle name="Note 2 2 4 2" xfId="4073" xr:uid="{DC04F8C4-D06E-46CE-8752-9FBDC4731AE4}"/>
    <cellStyle name="Note 2 2 4 2 2" xfId="8291" xr:uid="{A615C954-90D5-440D-9E73-B088D4545E28}"/>
    <cellStyle name="Note 2 2 4 3" xfId="6146" xr:uid="{5D17EFAB-4017-4DA7-99FC-F18BDA4610D7}"/>
    <cellStyle name="Note 2 2 4 4" xfId="1844" xr:uid="{82C85388-057E-4B71-8478-B5EE596FC0B3}"/>
    <cellStyle name="Note 2 2 5" xfId="2257" xr:uid="{90BAC8EE-38E2-4971-B496-042BC01B67BE}"/>
    <cellStyle name="Note 2 2 5 2" xfId="4486" xr:uid="{38D0061E-DB57-4D32-A5B8-6B5865532869}"/>
    <cellStyle name="Note 2 2 5 2 2" xfId="8704" xr:uid="{601A5FBA-E0AE-4AEA-B43D-FC191F2EAC2F}"/>
    <cellStyle name="Note 2 2 5 3" xfId="6559" xr:uid="{7DC0EA12-347F-4628-937A-1BCCE3B97E18}"/>
    <cellStyle name="Note 2 2 6" xfId="2670" xr:uid="{305620B8-CAAA-4A50-9C6E-8EB0A305307D}"/>
    <cellStyle name="Note 2 2 6 2" xfId="4899" xr:uid="{0B409398-5E78-484D-A8D0-895A889469F1}"/>
    <cellStyle name="Note 2 2 6 2 2" xfId="9117" xr:uid="{A766E19F-E148-4A85-A637-C58C14EB2C4F}"/>
    <cellStyle name="Note 2 2 6 3" xfId="6972" xr:uid="{0CCAA21E-D8D0-4179-89A9-A9A3C78E47BA}"/>
    <cellStyle name="Note 2 2 7" xfId="3083" xr:uid="{D1398624-A86D-40C7-80D0-D5F66867B10C}"/>
    <cellStyle name="Note 2 2 7 2" xfId="5312" xr:uid="{96CE8251-AE8B-46C4-9B5F-B947ABAEA8ED}"/>
    <cellStyle name="Note 2 2 7 2 2" xfId="9530" xr:uid="{81F6D478-D0CC-4D6C-929C-A36C9BDC6FDA}"/>
    <cellStyle name="Note 2 2 7 3" xfId="7385" xr:uid="{A920DBCD-F3D1-494D-99C4-24E36CEE0867}"/>
    <cellStyle name="Note 2 2 8" xfId="3519" xr:uid="{5E783232-8927-4CCA-A7FF-DBA296D4363F}"/>
    <cellStyle name="Note 2 2 8 2" xfId="7798" xr:uid="{CD7C2F18-D860-4657-AD70-4B2B806BF48A}"/>
    <cellStyle name="Note 2 2 9" xfId="3578" xr:uid="{9E5376B3-D1EF-4A43-AD62-4F09394EA1C9}"/>
    <cellStyle name="Note 2 3" xfId="553" xr:uid="{00000000-0005-0000-0000-0000E4030000}"/>
    <cellStyle name="Note 2 3 10" xfId="5737" xr:uid="{666C1AFB-EBB8-4150-909F-DD96FCF97DA8}"/>
    <cellStyle name="Note 2 3 11" xfId="1433" xr:uid="{3E68C6FA-9ABC-4AAD-AA39-4ED0282BDA67}"/>
    <cellStyle name="Note 2 3 2" xfId="554" xr:uid="{00000000-0005-0000-0000-0000E5030000}"/>
    <cellStyle name="Note 2 3 2 10" xfId="1434" xr:uid="{BAE12C4F-E7F2-449C-A2C8-3DFC04A482FA}"/>
    <cellStyle name="Note 2 3 2 2" xfId="1019" xr:uid="{00000000-0005-0000-0000-0000E6030000}"/>
    <cellStyle name="Note 2 3 2 2 2" xfId="4078" xr:uid="{E0A85974-FDBE-41E4-8CEF-8926598450C8}"/>
    <cellStyle name="Note 2 3 2 2 2 2" xfId="8296" xr:uid="{CFD51D61-E73E-46ED-8EAD-24F93CF8F714}"/>
    <cellStyle name="Note 2 3 2 2 3" xfId="6151" xr:uid="{700455FB-C125-4193-A7F7-40B7AF7148D8}"/>
    <cellStyle name="Note 2 3 2 2 4" xfId="1849" xr:uid="{A94115C7-DA9D-4A54-8D0B-2BBD98751752}"/>
    <cellStyle name="Note 2 3 2 3" xfId="2262" xr:uid="{E18FA1DD-B039-446E-AC74-E4C92FB2FDE1}"/>
    <cellStyle name="Note 2 3 2 3 2" xfId="4491" xr:uid="{59A75150-32DC-4546-B2F1-96BE77FE8664}"/>
    <cellStyle name="Note 2 3 2 3 2 2" xfId="8709" xr:uid="{F839A652-BF80-4AAA-B98C-2F2302D9CBED}"/>
    <cellStyle name="Note 2 3 2 3 3" xfId="6564" xr:uid="{D8CF94E0-8C28-4E5B-A0CA-566B5A204541}"/>
    <cellStyle name="Note 2 3 2 4" xfId="2675" xr:uid="{AD69F2B7-6CA5-4D3C-9A40-DC878BF23969}"/>
    <cellStyle name="Note 2 3 2 4 2" xfId="4904" xr:uid="{4DDF37A9-134C-4B22-9634-BC579171F771}"/>
    <cellStyle name="Note 2 3 2 4 2 2" xfId="9122" xr:uid="{2B55A0EA-1376-4332-B184-824EBA0CC356}"/>
    <cellStyle name="Note 2 3 2 4 3" xfId="6977" xr:uid="{8FF67901-FF3D-433E-8261-43AD56B54663}"/>
    <cellStyle name="Note 2 3 2 5" xfId="3088" xr:uid="{F3A54B37-1EFC-4AE6-9805-021D1902CD75}"/>
    <cellStyle name="Note 2 3 2 5 2" xfId="5317" xr:uid="{263CE559-8335-4197-9E90-A2199E64AFC2}"/>
    <cellStyle name="Note 2 3 2 5 2 2" xfId="9535" xr:uid="{828F712A-E319-4AE0-9717-6ADC8233B83F}"/>
    <cellStyle name="Note 2 3 2 5 3" xfId="7390" xr:uid="{749BEE3A-9FEA-481A-A8CF-B18575D26494}"/>
    <cellStyle name="Note 2 3 2 6" xfId="3524" xr:uid="{BAA1A696-3D6F-41BD-AA11-4A79D649B965}"/>
    <cellStyle name="Note 2 3 2 6 2" xfId="7803" xr:uid="{D49CB71C-BA03-44CF-BE19-B1BB3160A5CE}"/>
    <cellStyle name="Note 2 3 2 7" xfId="3583" xr:uid="{BCDE2FBD-1EE0-43D4-86EF-4320143A064F}"/>
    <cellStyle name="Note 2 3 2 8" xfId="3664" xr:uid="{1A3A2B42-AD48-420C-ABE8-90BEA52726F8}"/>
    <cellStyle name="Note 2 3 2 8 2" xfId="7883" xr:uid="{4FA168C7-04E2-48D9-8BE1-7A9E38B7E59A}"/>
    <cellStyle name="Note 2 3 2 9" xfId="5738" xr:uid="{AEF1A377-1D60-4AEC-A717-383D95256964}"/>
    <cellStyle name="Note 2 3 3" xfId="1018" xr:uid="{00000000-0005-0000-0000-0000E7030000}"/>
    <cellStyle name="Note 2 3 3 2" xfId="4077" xr:uid="{E9974889-C55D-4DAF-A38F-AFE816ECB89A}"/>
    <cellStyle name="Note 2 3 3 2 2" xfId="8295" xr:uid="{C949399E-5AC7-4EBD-8F81-D36D8BC2F630}"/>
    <cellStyle name="Note 2 3 3 3" xfId="6150" xr:uid="{0665A4BB-E131-4D4D-96EA-41F8B2168C6D}"/>
    <cellStyle name="Note 2 3 3 4" xfId="1848" xr:uid="{5CC05A64-0E5E-4BCD-9186-D8D935833EA4}"/>
    <cellStyle name="Note 2 3 4" xfId="2261" xr:uid="{18E4745F-12ED-41A3-8840-C54323AED60E}"/>
    <cellStyle name="Note 2 3 4 2" xfId="4490" xr:uid="{6677D60F-E5C2-47FA-AA4F-081607A1D973}"/>
    <cellStyle name="Note 2 3 4 2 2" xfId="8708" xr:uid="{0D975ED8-B001-42B7-AFB2-FA28884E6B43}"/>
    <cellStyle name="Note 2 3 4 3" xfId="6563" xr:uid="{A57CDB53-0A66-45CD-9F5F-DD042253CE9C}"/>
    <cellStyle name="Note 2 3 5" xfId="2674" xr:uid="{52F4371F-1D6F-4A4E-8CDD-235470B7210B}"/>
    <cellStyle name="Note 2 3 5 2" xfId="4903" xr:uid="{FDDB0A3E-ECC0-4354-937D-5CF4C8D9247F}"/>
    <cellStyle name="Note 2 3 5 2 2" xfId="9121" xr:uid="{A4557D93-386A-464C-9AFD-435C6961BD17}"/>
    <cellStyle name="Note 2 3 5 3" xfId="6976" xr:uid="{0050B479-05B8-4C69-AAD8-D07455EA2C48}"/>
    <cellStyle name="Note 2 3 6" xfId="3087" xr:uid="{47D92348-92BE-4A11-B25F-9CC173D20DEE}"/>
    <cellStyle name="Note 2 3 6 2" xfId="5316" xr:uid="{9789547E-43C2-4B92-8CC2-E9BC60C2849E}"/>
    <cellStyle name="Note 2 3 6 2 2" xfId="9534" xr:uid="{19F8595A-3F2C-4BBE-ACFD-533B88DBAD44}"/>
    <cellStyle name="Note 2 3 6 3" xfId="7389" xr:uid="{C00A4F73-6C7D-4D4A-9AE4-768155D7116E}"/>
    <cellStyle name="Note 2 3 7" xfId="3523" xr:uid="{30CA14A7-B7DA-4E12-BAD9-79A53F31D86B}"/>
    <cellStyle name="Note 2 3 7 2" xfId="7802" xr:uid="{288FA865-2906-499B-AD74-AF3B45DE48EB}"/>
    <cellStyle name="Note 2 3 8" xfId="3582" xr:uid="{F84665EC-A764-4FDE-89B4-C299DEB4C353}"/>
    <cellStyle name="Note 2 3 9" xfId="3663" xr:uid="{8A70DE3E-1136-4B4C-B43D-ACF566EA9ED4}"/>
    <cellStyle name="Note 2 3 9 2" xfId="7882" xr:uid="{FD6CB1B6-7C4B-4603-ACB2-0C30DA66A6E3}"/>
    <cellStyle name="Note 2 4" xfId="555" xr:uid="{00000000-0005-0000-0000-0000E8030000}"/>
    <cellStyle name="Note 2 4 10" xfId="1435" xr:uid="{D8B7E8D7-5D05-4DEF-BAA1-2EB6EC6644A2}"/>
    <cellStyle name="Note 2 4 2" xfId="1020" xr:uid="{00000000-0005-0000-0000-0000E9030000}"/>
    <cellStyle name="Note 2 4 2 2" xfId="4079" xr:uid="{A08FA772-7910-4F22-9F24-AA29FEDF53BB}"/>
    <cellStyle name="Note 2 4 2 2 2" xfId="8297" xr:uid="{A0528568-046A-448C-AF87-5131831EBF6D}"/>
    <cellStyle name="Note 2 4 2 3" xfId="6152" xr:uid="{CD682E15-C6B5-4FBB-A477-5D17481206E2}"/>
    <cellStyle name="Note 2 4 2 4" xfId="1850" xr:uid="{4B78B85F-03EE-4745-BA42-5823C29B2CA4}"/>
    <cellStyle name="Note 2 4 3" xfId="2263" xr:uid="{C67C6005-6F0A-42A9-9838-3A9AD1D5B0A8}"/>
    <cellStyle name="Note 2 4 3 2" xfId="4492" xr:uid="{E545416A-A7D8-432B-BA80-E530836A0775}"/>
    <cellStyle name="Note 2 4 3 2 2" xfId="8710" xr:uid="{BC3C7FDB-A79D-411F-9783-6064CA51FC5F}"/>
    <cellStyle name="Note 2 4 3 3" xfId="6565" xr:uid="{BDCD9183-CCC9-48F1-A641-9DEFB7F39F7A}"/>
    <cellStyle name="Note 2 4 4" xfId="2676" xr:uid="{43552BD2-7615-4908-9C46-C82CEE29536A}"/>
    <cellStyle name="Note 2 4 4 2" xfId="4905" xr:uid="{9394A0ED-CB0E-4BDB-B4DA-6AC63865F3C7}"/>
    <cellStyle name="Note 2 4 4 2 2" xfId="9123" xr:uid="{FA0151CD-0829-482E-AD5B-F3A24CA35A34}"/>
    <cellStyle name="Note 2 4 4 3" xfId="6978" xr:uid="{61256D34-904F-4434-B39F-DB5E6292B37E}"/>
    <cellStyle name="Note 2 4 5" xfId="3089" xr:uid="{98911BE1-669C-49CC-98B0-FA836E84CB40}"/>
    <cellStyle name="Note 2 4 5 2" xfId="5318" xr:uid="{33722B88-FB55-4659-85DD-50ADEE7C4AEC}"/>
    <cellStyle name="Note 2 4 5 2 2" xfId="9536" xr:uid="{5DA9C75C-9747-4B9A-A8E1-C46FDD037EEE}"/>
    <cellStyle name="Note 2 4 5 3" xfId="7391" xr:uid="{33ADBC2E-0219-4A2B-9A38-E887A4DDA27C}"/>
    <cellStyle name="Note 2 4 6" xfId="3525" xr:uid="{992F8A4B-56E6-4AC1-852E-E9B4404B9349}"/>
    <cellStyle name="Note 2 4 6 2" xfId="7804" xr:uid="{B3F5DB96-F7A9-44A8-BD54-236FE00C3A02}"/>
    <cellStyle name="Note 2 4 7" xfId="3584" xr:uid="{03CC6BBF-92D9-4832-A6ED-00DF3195D055}"/>
    <cellStyle name="Note 2 4 8" xfId="3665" xr:uid="{1A5AE7EE-F4DF-476E-81B0-13AAE75568E7}"/>
    <cellStyle name="Note 2 4 8 2" xfId="7884" xr:uid="{B89DD900-F01C-4FAB-AD2A-36D67F710613}"/>
    <cellStyle name="Note 2 4 9" xfId="5739" xr:uid="{61075DD3-4C69-4345-AD99-FC5777F79E0A}"/>
    <cellStyle name="Note 2 5" xfId="556" xr:uid="{00000000-0005-0000-0000-0000EA030000}"/>
    <cellStyle name="Note 2 5 10" xfId="1436" xr:uid="{97FB44B4-981C-4FDA-8FE9-A73B557CAF35}"/>
    <cellStyle name="Note 2 5 2" xfId="1021" xr:uid="{00000000-0005-0000-0000-0000EB030000}"/>
    <cellStyle name="Note 2 5 2 2" xfId="4080" xr:uid="{56CB356F-5D08-4028-AA73-F9A7354E7EB4}"/>
    <cellStyle name="Note 2 5 2 2 2" xfId="8298" xr:uid="{64AFB679-40C1-4118-8051-CFF1C2AE983E}"/>
    <cellStyle name="Note 2 5 2 3" xfId="6153" xr:uid="{104ED994-5329-4918-B81A-184449058E5B}"/>
    <cellStyle name="Note 2 5 2 4" xfId="1851" xr:uid="{B479506C-E002-4E91-BDE9-DE1A4E26D725}"/>
    <cellStyle name="Note 2 5 3" xfId="2264" xr:uid="{4160D1B6-8A07-4B07-9749-016F5CDDC18C}"/>
    <cellStyle name="Note 2 5 3 2" xfId="4493" xr:uid="{2B5368BE-8E33-4BA8-8D69-30E8D3C9BC6F}"/>
    <cellStyle name="Note 2 5 3 2 2" xfId="8711" xr:uid="{22496AB7-4556-46E0-A681-58F52FBF1264}"/>
    <cellStyle name="Note 2 5 3 3" xfId="6566" xr:uid="{8D93C49D-18EC-4C4E-B020-DD20AAE44038}"/>
    <cellStyle name="Note 2 5 4" xfId="2677" xr:uid="{8E7D8916-30A0-4BD9-BB54-455BF34A2CD0}"/>
    <cellStyle name="Note 2 5 4 2" xfId="4906" xr:uid="{64736AAD-8933-4A8F-A32C-62805403E7B1}"/>
    <cellStyle name="Note 2 5 4 2 2" xfId="9124" xr:uid="{A5E578C8-3BC5-4541-B2BA-43AC138B7BA5}"/>
    <cellStyle name="Note 2 5 4 3" xfId="6979" xr:uid="{758288AD-9EFA-4639-87D5-C274E2B970D6}"/>
    <cellStyle name="Note 2 5 5" xfId="3090" xr:uid="{4AC110C6-9294-45A0-856B-0515044993F9}"/>
    <cellStyle name="Note 2 5 5 2" xfId="5319" xr:uid="{56170AB8-4C93-4418-BDAB-AE13B3F0E8FF}"/>
    <cellStyle name="Note 2 5 5 2 2" xfId="9537" xr:uid="{DA57FA96-25DD-4119-AF1F-9B22FB21E119}"/>
    <cellStyle name="Note 2 5 5 3" xfId="7392" xr:uid="{F5E011B6-09A9-44EF-8F01-2365DE480422}"/>
    <cellStyle name="Note 2 5 6" xfId="3526" xr:uid="{C7D94616-ADF0-4A5E-A800-7D3DA150A304}"/>
    <cellStyle name="Note 2 5 6 2" xfId="7805" xr:uid="{74A5AD87-5E51-4CEF-AA06-4C4E42887744}"/>
    <cellStyle name="Note 2 5 7" xfId="3585" xr:uid="{15C3E415-0EDC-4AA4-89FC-584E605D5F33}"/>
    <cellStyle name="Note 2 5 8" xfId="3666" xr:uid="{72F0FFDC-EC72-4DCA-9809-894DCF6F31F2}"/>
    <cellStyle name="Note 2 5 8 2" xfId="7885" xr:uid="{9EECFDC6-5653-4371-9DA2-45264FDCA251}"/>
    <cellStyle name="Note 2 5 9" xfId="5740" xr:uid="{7CC38662-4FD4-4E3C-B404-FA8CFEB6F87F}"/>
    <cellStyle name="Note 3" xfId="557" xr:uid="{00000000-0005-0000-0000-0000EC030000}"/>
    <cellStyle name="Note 3 2" xfId="558" xr:uid="{00000000-0005-0000-0000-0000ED030000}"/>
    <cellStyle name="Note 3 2 10" xfId="3667" xr:uid="{9A9F0DB6-1B5A-4D1B-9F13-C7F44AF7009B}"/>
    <cellStyle name="Note 3 2 10 2" xfId="7886" xr:uid="{23E81A3A-4AA1-436D-80EF-55D68E16F4D2}"/>
    <cellStyle name="Note 3 2 11" xfId="5741" xr:uid="{E94CD229-E0F0-4ACF-AB3C-321833046EA6}"/>
    <cellStyle name="Note 3 2 12" xfId="1437" xr:uid="{23BD0A9E-1155-470A-9B95-399E73D4DC79}"/>
    <cellStyle name="Note 3 2 2" xfId="559" xr:uid="{00000000-0005-0000-0000-0000EE030000}"/>
    <cellStyle name="Note 3 2 2 10" xfId="5742" xr:uid="{1A9573C7-5046-4CCF-993C-51B725A7F33C}"/>
    <cellStyle name="Note 3 2 2 11" xfId="1438" xr:uid="{6E9FA7D8-6CF6-4384-9EA8-EAB026C7EAE2}"/>
    <cellStyle name="Note 3 2 2 2" xfId="560" xr:uid="{00000000-0005-0000-0000-0000EF030000}"/>
    <cellStyle name="Note 3 2 2 2 10" xfId="1439" xr:uid="{4AE248EC-372A-4925-A289-8C655974ADE9}"/>
    <cellStyle name="Note 3 2 2 2 2" xfId="1024" xr:uid="{00000000-0005-0000-0000-0000F0030000}"/>
    <cellStyle name="Note 3 2 2 2 2 2" xfId="4083" xr:uid="{CDA349AF-AAAE-45C5-96D3-2FB76BF0551E}"/>
    <cellStyle name="Note 3 2 2 2 2 2 2" xfId="8301" xr:uid="{6B2AE0CE-02C7-4B69-A230-FF81623D84A0}"/>
    <cellStyle name="Note 3 2 2 2 2 3" xfId="6156" xr:uid="{C4483DC1-24D0-4CAE-B1E8-5D7BF44CE787}"/>
    <cellStyle name="Note 3 2 2 2 2 4" xfId="1854" xr:uid="{BBAA6AED-BC49-4D40-B4BE-1347214787B4}"/>
    <cellStyle name="Note 3 2 2 2 3" xfId="2267" xr:uid="{9C6852BF-B7AC-4655-827F-0530BC497C48}"/>
    <cellStyle name="Note 3 2 2 2 3 2" xfId="4496" xr:uid="{5E3BDF46-EC4F-4306-AB12-C0468006B008}"/>
    <cellStyle name="Note 3 2 2 2 3 2 2" xfId="8714" xr:uid="{D1A188B9-5F0C-43E1-8C21-7D310F00AEA6}"/>
    <cellStyle name="Note 3 2 2 2 3 3" xfId="6569" xr:uid="{0824EF80-F791-45F6-B54F-23AFF086E4F0}"/>
    <cellStyle name="Note 3 2 2 2 4" xfId="2680" xr:uid="{B7E62412-C00E-4EF9-9492-C82EF7117749}"/>
    <cellStyle name="Note 3 2 2 2 4 2" xfId="4909" xr:uid="{DDC470ED-66F8-4010-955D-6D559CF7E02D}"/>
    <cellStyle name="Note 3 2 2 2 4 2 2" xfId="9127" xr:uid="{01F27C3C-FDDA-4B65-9ECC-2F7094783750}"/>
    <cellStyle name="Note 3 2 2 2 4 3" xfId="6982" xr:uid="{6E3FCB5B-E28E-43EF-88FF-CE6308768149}"/>
    <cellStyle name="Note 3 2 2 2 5" xfId="3093" xr:uid="{84431F69-0923-4AC7-9AF4-5009D7E9891D}"/>
    <cellStyle name="Note 3 2 2 2 5 2" xfId="5322" xr:uid="{53666125-7A2E-4E52-A743-2B520E079204}"/>
    <cellStyle name="Note 3 2 2 2 5 2 2" xfId="9540" xr:uid="{492FF6D6-8023-4DC0-A686-1FF57A983547}"/>
    <cellStyle name="Note 3 2 2 2 5 3" xfId="7395" xr:uid="{44CDF184-3E1E-4418-B8F9-5975FC5A5D39}"/>
    <cellStyle name="Note 3 2 2 2 6" xfId="3529" xr:uid="{018A6455-DBE1-416C-9319-48416503D685}"/>
    <cellStyle name="Note 3 2 2 2 6 2" xfId="7808" xr:uid="{C1F9F7B2-AE9D-4E45-916F-AA8A59054308}"/>
    <cellStyle name="Note 3 2 2 2 7" xfId="3588" xr:uid="{A5CF8FC4-A8AA-4D55-843B-FA6ED119596A}"/>
    <cellStyle name="Note 3 2 2 2 8" xfId="3669" xr:uid="{B5B2AF0D-0BE9-49EB-9D19-7B2983622EB7}"/>
    <cellStyle name="Note 3 2 2 2 8 2" xfId="7888" xr:uid="{60ADF792-5A90-4EEF-8C19-F4D6FED8101E}"/>
    <cellStyle name="Note 3 2 2 2 9" xfId="5743" xr:uid="{A5C0969F-537E-4EA5-8B6D-738A7A3C940F}"/>
    <cellStyle name="Note 3 2 2 3" xfId="1023" xr:uid="{00000000-0005-0000-0000-0000F1030000}"/>
    <cellStyle name="Note 3 2 2 3 2" xfId="4082" xr:uid="{4C64D9F0-2D38-4D71-8884-39C3A88D05FB}"/>
    <cellStyle name="Note 3 2 2 3 2 2" xfId="8300" xr:uid="{5C8497A0-0336-4B06-A9FA-13E837DE42E4}"/>
    <cellStyle name="Note 3 2 2 3 3" xfId="6155" xr:uid="{CCF6116A-08BD-496D-BB88-BB9E03C1AE33}"/>
    <cellStyle name="Note 3 2 2 3 4" xfId="1853" xr:uid="{6182B334-BB4C-46E3-9545-677C538F1778}"/>
    <cellStyle name="Note 3 2 2 4" xfId="2266" xr:uid="{DBB838EB-4045-47A4-A695-7B13568596FC}"/>
    <cellStyle name="Note 3 2 2 4 2" xfId="4495" xr:uid="{1EAFC553-70C6-402F-AE24-D25DCCB2183A}"/>
    <cellStyle name="Note 3 2 2 4 2 2" xfId="8713" xr:uid="{9F724F28-1378-4270-A3E4-08F9657B51DB}"/>
    <cellStyle name="Note 3 2 2 4 3" xfId="6568" xr:uid="{CA1DF500-B100-4D30-A62B-831F3C28CC1B}"/>
    <cellStyle name="Note 3 2 2 5" xfId="2679" xr:uid="{6C388DA2-94C4-4142-AB37-72190AD90424}"/>
    <cellStyle name="Note 3 2 2 5 2" xfId="4908" xr:uid="{7C23322D-8BC1-4055-82F0-98A8A0F08AD9}"/>
    <cellStyle name="Note 3 2 2 5 2 2" xfId="9126" xr:uid="{02732641-F56D-4A1F-B558-E88DD2F5FEC2}"/>
    <cellStyle name="Note 3 2 2 5 3" xfId="6981" xr:uid="{6283F15D-A9C2-458A-851D-6D81F8849653}"/>
    <cellStyle name="Note 3 2 2 6" xfId="3092" xr:uid="{0ADC7D54-CCE8-4ACE-B848-AEDD6304B205}"/>
    <cellStyle name="Note 3 2 2 6 2" xfId="5321" xr:uid="{D361CDE6-9702-4C78-916D-0ED0B3A5C44A}"/>
    <cellStyle name="Note 3 2 2 6 2 2" xfId="9539" xr:uid="{5C89C5B3-DF46-4BA8-9012-00FDEE5FEB6C}"/>
    <cellStyle name="Note 3 2 2 6 3" xfId="7394" xr:uid="{CEAD2AA4-A454-49F1-855C-6D13A9AC1E05}"/>
    <cellStyle name="Note 3 2 2 7" xfId="3528" xr:uid="{01FE8947-FB53-4139-AB7B-587ECCE851DD}"/>
    <cellStyle name="Note 3 2 2 7 2" xfId="7807" xr:uid="{BE9927A4-E71D-450E-A372-4F3F045789B7}"/>
    <cellStyle name="Note 3 2 2 8" xfId="3587" xr:uid="{41A200CC-6497-4B1F-8C19-EFAFB9644522}"/>
    <cellStyle name="Note 3 2 2 9" xfId="3668" xr:uid="{9E7A95E4-03D4-465C-A95B-79DBE6431ABF}"/>
    <cellStyle name="Note 3 2 2 9 2" xfId="7887" xr:uid="{508BCAEC-31EA-4AC7-9500-AFF6AA9E06C1}"/>
    <cellStyle name="Note 3 2 3" xfId="561" xr:uid="{00000000-0005-0000-0000-0000F2030000}"/>
    <cellStyle name="Note 3 2 3 10" xfId="1440" xr:uid="{9C725211-EB4C-4351-A1AC-185CFE189F86}"/>
    <cellStyle name="Note 3 2 3 2" xfId="1025" xr:uid="{00000000-0005-0000-0000-0000F3030000}"/>
    <cellStyle name="Note 3 2 3 2 2" xfId="4084" xr:uid="{6A58AB8B-BE7F-4050-B6A1-831ECD50763A}"/>
    <cellStyle name="Note 3 2 3 2 2 2" xfId="8302" xr:uid="{07131B0B-DAB4-44EF-BB29-319569DE9AFE}"/>
    <cellStyle name="Note 3 2 3 2 3" xfId="6157" xr:uid="{40E0C2A9-87B5-43A8-B108-BA6A4F178921}"/>
    <cellStyle name="Note 3 2 3 2 4" xfId="1855" xr:uid="{E8CE5AC0-84E4-45CA-BF57-6B3A57741899}"/>
    <cellStyle name="Note 3 2 3 3" xfId="2268" xr:uid="{24D85512-7A96-4FE6-9F91-289305DC4D42}"/>
    <cellStyle name="Note 3 2 3 3 2" xfId="4497" xr:uid="{D20F41C0-2295-47E2-A68C-334E458169DF}"/>
    <cellStyle name="Note 3 2 3 3 2 2" xfId="8715" xr:uid="{0E8E8DCF-9BA2-460A-AF88-73ED96F46BF4}"/>
    <cellStyle name="Note 3 2 3 3 3" xfId="6570" xr:uid="{364E66F0-4D27-4BFD-8E23-95A6C389F9BF}"/>
    <cellStyle name="Note 3 2 3 4" xfId="2681" xr:uid="{073DBE4C-82AC-418A-A6B7-31B2FF8688CA}"/>
    <cellStyle name="Note 3 2 3 4 2" xfId="4910" xr:uid="{DBB57D18-27AC-4457-80D9-508F69CDB928}"/>
    <cellStyle name="Note 3 2 3 4 2 2" xfId="9128" xr:uid="{2863FC48-C37C-4F98-B36A-F13B63429F86}"/>
    <cellStyle name="Note 3 2 3 4 3" xfId="6983" xr:uid="{3FDBA4A5-607A-4530-935C-301A8489DE90}"/>
    <cellStyle name="Note 3 2 3 5" xfId="3094" xr:uid="{4463E6DB-D1E4-4CE8-9672-6F860A7E44D1}"/>
    <cellStyle name="Note 3 2 3 5 2" xfId="5323" xr:uid="{FF41D608-75AF-49EB-867E-8FB1FB0A480A}"/>
    <cellStyle name="Note 3 2 3 5 2 2" xfId="9541" xr:uid="{86AA0AAA-D4C5-4F79-93D1-A09140C825ED}"/>
    <cellStyle name="Note 3 2 3 5 3" xfId="7396" xr:uid="{8F5BBD9D-5672-4A5C-B5A8-B0A794E54017}"/>
    <cellStyle name="Note 3 2 3 6" xfId="3530" xr:uid="{CF607205-2F22-4C03-8501-692835878833}"/>
    <cellStyle name="Note 3 2 3 6 2" xfId="7809" xr:uid="{C6831B03-42DF-4884-B690-BE7C30D76EEC}"/>
    <cellStyle name="Note 3 2 3 7" xfId="3589" xr:uid="{4083B760-4679-42EA-913E-5049F68EA2A6}"/>
    <cellStyle name="Note 3 2 3 8" xfId="3670" xr:uid="{816B487C-9880-4409-A2D3-8ADCEC7AA8B5}"/>
    <cellStyle name="Note 3 2 3 8 2" xfId="7889" xr:uid="{123ED156-3806-491E-AE9F-00E906135F94}"/>
    <cellStyle name="Note 3 2 3 9" xfId="5744" xr:uid="{01559FF2-9E35-4154-B9AB-666E824C4D43}"/>
    <cellStyle name="Note 3 2 4" xfId="1022" xr:uid="{00000000-0005-0000-0000-0000F4030000}"/>
    <cellStyle name="Note 3 2 4 2" xfId="4081" xr:uid="{4E213036-50FA-4B8A-9685-DEDBF4EE33D7}"/>
    <cellStyle name="Note 3 2 4 2 2" xfId="8299" xr:uid="{2226FF23-BE45-4531-9A3F-5782B0E1CCE5}"/>
    <cellStyle name="Note 3 2 4 3" xfId="6154" xr:uid="{20318BB0-DCFE-4317-94FB-34902BAF4936}"/>
    <cellStyle name="Note 3 2 4 4" xfId="1852" xr:uid="{2061BCED-452E-4E7B-B976-536B86D624B4}"/>
    <cellStyle name="Note 3 2 5" xfId="2265" xr:uid="{AEEA7E63-EBF2-4EDF-B450-2A10D718383B}"/>
    <cellStyle name="Note 3 2 5 2" xfId="4494" xr:uid="{44E49431-4161-43B1-A253-3709A1153DEC}"/>
    <cellStyle name="Note 3 2 5 2 2" xfId="8712" xr:uid="{40172E86-EB1C-4EA9-85DB-DE9A640D8EA9}"/>
    <cellStyle name="Note 3 2 5 3" xfId="6567" xr:uid="{04E7FDE4-961B-4383-B4A0-669415D2EE33}"/>
    <cellStyle name="Note 3 2 6" xfId="2678" xr:uid="{D65375EB-DC89-4870-93C2-C356DC92B24D}"/>
    <cellStyle name="Note 3 2 6 2" xfId="4907" xr:uid="{64B9F586-CD88-4038-8C80-E60B94A9D86F}"/>
    <cellStyle name="Note 3 2 6 2 2" xfId="9125" xr:uid="{EE983951-7817-4C7E-A078-FA6F7AE86E1D}"/>
    <cellStyle name="Note 3 2 6 3" xfId="6980" xr:uid="{E974A08C-E5B7-422E-9B67-5A3F1CA59358}"/>
    <cellStyle name="Note 3 2 7" xfId="3091" xr:uid="{2F96EC80-6764-4395-9AC0-5F19CC7D0180}"/>
    <cellStyle name="Note 3 2 7 2" xfId="5320" xr:uid="{5176E70A-6EED-4945-9F39-CF75246D407B}"/>
    <cellStyle name="Note 3 2 7 2 2" xfId="9538" xr:uid="{9E744FB8-C8FA-4229-9A8B-61923675157B}"/>
    <cellStyle name="Note 3 2 7 3" xfId="7393" xr:uid="{2A5A843D-A14E-4483-9108-1AB35AB3EFB7}"/>
    <cellStyle name="Note 3 2 8" xfId="3527" xr:uid="{62CCF447-A4F8-4BEE-BC0C-38F57D97CD00}"/>
    <cellStyle name="Note 3 2 8 2" xfId="7806" xr:uid="{6B4D7189-9D17-4D97-B901-01B7CAD85652}"/>
    <cellStyle name="Note 3 2 9" xfId="3586" xr:uid="{46B6660B-7F7D-4F0F-852D-4F78DC3DEC15}"/>
    <cellStyle name="Note 3 3" xfId="562" xr:uid="{00000000-0005-0000-0000-0000F5030000}"/>
    <cellStyle name="Note 3 3 10" xfId="5745" xr:uid="{57B7D198-DDB4-464C-82EA-F957C6C2DA73}"/>
    <cellStyle name="Note 3 3 11" xfId="1441" xr:uid="{BFB8B6B1-6454-464E-8F88-27B31073B64A}"/>
    <cellStyle name="Note 3 3 2" xfId="563" xr:uid="{00000000-0005-0000-0000-0000F6030000}"/>
    <cellStyle name="Note 3 3 2 10" xfId="1442" xr:uid="{914F7A98-C258-45E7-A2E0-1053D0910805}"/>
    <cellStyle name="Note 3 3 2 2" xfId="1027" xr:uid="{00000000-0005-0000-0000-0000F7030000}"/>
    <cellStyle name="Note 3 3 2 2 2" xfId="4086" xr:uid="{21DDDC86-0B6E-453B-B758-29AADE41B347}"/>
    <cellStyle name="Note 3 3 2 2 2 2" xfId="8304" xr:uid="{0B637D6F-72C3-4552-8B5A-33DB7F1EDEB9}"/>
    <cellStyle name="Note 3 3 2 2 3" xfId="6159" xr:uid="{65549AD3-9432-4616-8DE7-884E0F34B2A1}"/>
    <cellStyle name="Note 3 3 2 2 4" xfId="1857" xr:uid="{6045CE68-52E6-4C75-8D32-23FF28793B0E}"/>
    <cellStyle name="Note 3 3 2 3" xfId="2270" xr:uid="{E035603D-A14D-474F-902A-513154C930DA}"/>
    <cellStyle name="Note 3 3 2 3 2" xfId="4499" xr:uid="{BC0D1126-B7FE-4231-AC36-08C715654B4E}"/>
    <cellStyle name="Note 3 3 2 3 2 2" xfId="8717" xr:uid="{C816B0B5-C41D-4529-8BC5-DE1E13C6306D}"/>
    <cellStyle name="Note 3 3 2 3 3" xfId="6572" xr:uid="{EF4A278C-E1AB-4D0A-9569-BC6E927DD269}"/>
    <cellStyle name="Note 3 3 2 4" xfId="2683" xr:uid="{171E3906-DFFB-4D61-B55D-ECBF0754BE62}"/>
    <cellStyle name="Note 3 3 2 4 2" xfId="4912" xr:uid="{191E5BA4-70D2-4699-9C2A-CA0EAF94515C}"/>
    <cellStyle name="Note 3 3 2 4 2 2" xfId="9130" xr:uid="{8602C1D8-D428-49BE-AB8B-64C4AEF94267}"/>
    <cellStyle name="Note 3 3 2 4 3" xfId="6985" xr:uid="{A5A3C5EC-C3A9-43A2-BDFF-357314DF7A79}"/>
    <cellStyle name="Note 3 3 2 5" xfId="3096" xr:uid="{E5A188B4-7BD4-49E6-BD42-E076A83959F0}"/>
    <cellStyle name="Note 3 3 2 5 2" xfId="5325" xr:uid="{CC4EDD43-85C4-43D2-8122-8740454C3DE0}"/>
    <cellStyle name="Note 3 3 2 5 2 2" xfId="9543" xr:uid="{CB3C41C0-E22C-454C-BAAF-C4764FDE7881}"/>
    <cellStyle name="Note 3 3 2 5 3" xfId="7398" xr:uid="{F6AE5F9B-7384-4123-AF15-D5DFFDD7F9EF}"/>
    <cellStyle name="Note 3 3 2 6" xfId="3532" xr:uid="{B0830FC9-FDE4-4F3C-9381-0834F0427B3F}"/>
    <cellStyle name="Note 3 3 2 6 2" xfId="7811" xr:uid="{53CA56E9-8C66-4EE2-8BC4-D32B46831E55}"/>
    <cellStyle name="Note 3 3 2 7" xfId="3591" xr:uid="{4FD1CD7B-45A4-4391-ACE7-C7AFB61B71BA}"/>
    <cellStyle name="Note 3 3 2 8" xfId="3672" xr:uid="{37417CA8-CE0C-4623-A292-0B6F6EEC9ABF}"/>
    <cellStyle name="Note 3 3 2 8 2" xfId="7891" xr:uid="{47EB1584-EC70-4022-A174-215CA6D6A47D}"/>
    <cellStyle name="Note 3 3 2 9" xfId="5746" xr:uid="{B86A379C-A379-4A3C-866B-02A1DE6356F6}"/>
    <cellStyle name="Note 3 3 3" xfId="1026" xr:uid="{00000000-0005-0000-0000-0000F8030000}"/>
    <cellStyle name="Note 3 3 3 2" xfId="4085" xr:uid="{FDE83334-6BE5-4A36-B14A-F32EBDEDA558}"/>
    <cellStyle name="Note 3 3 3 2 2" xfId="8303" xr:uid="{3B99A3EF-8F00-478B-910E-1A2D822D42DA}"/>
    <cellStyle name="Note 3 3 3 3" xfId="6158" xr:uid="{E51A6B93-8ECE-4B56-B490-098E2EE0C195}"/>
    <cellStyle name="Note 3 3 3 4" xfId="1856" xr:uid="{B8BC0AE9-E913-4111-98D5-248F21DF58B8}"/>
    <cellStyle name="Note 3 3 4" xfId="2269" xr:uid="{822B8885-8C50-4FC8-A3B6-51ED3A553FF1}"/>
    <cellStyle name="Note 3 3 4 2" xfId="4498" xr:uid="{6B49E2D4-A10F-4707-86C3-7746DD7DAD51}"/>
    <cellStyle name="Note 3 3 4 2 2" xfId="8716" xr:uid="{A835DFB6-BF5E-45A1-A1BE-59953B4F0438}"/>
    <cellStyle name="Note 3 3 4 3" xfId="6571" xr:uid="{EE20727C-477B-4749-A8CF-348DA8183411}"/>
    <cellStyle name="Note 3 3 5" xfId="2682" xr:uid="{D19DD1C8-7E43-4A8C-85DD-E85F19D948A0}"/>
    <cellStyle name="Note 3 3 5 2" xfId="4911" xr:uid="{0DD15B39-C725-4DF2-9B48-FD3F7E08B943}"/>
    <cellStyle name="Note 3 3 5 2 2" xfId="9129" xr:uid="{758382E2-40B0-4B29-A8E5-A2898858505C}"/>
    <cellStyle name="Note 3 3 5 3" xfId="6984" xr:uid="{C9E1C081-0E0B-42D3-8713-FC0A6B1841E2}"/>
    <cellStyle name="Note 3 3 6" xfId="3095" xr:uid="{64AA7D81-080A-4816-A06E-C5B83BBA540F}"/>
    <cellStyle name="Note 3 3 6 2" xfId="5324" xr:uid="{B798E7F6-DEC6-4C33-9FA7-0B5E37529599}"/>
    <cellStyle name="Note 3 3 6 2 2" xfId="9542" xr:uid="{73E494FC-979A-4E41-A527-3B6E25BDDDE8}"/>
    <cellStyle name="Note 3 3 6 3" xfId="7397" xr:uid="{6A012EC9-B055-4B81-9161-54B50E062ADF}"/>
    <cellStyle name="Note 3 3 7" xfId="3531" xr:uid="{3FB2C66F-01EB-4499-8ABD-141FA4533825}"/>
    <cellStyle name="Note 3 3 7 2" xfId="7810" xr:uid="{A62C7B31-0178-4C7F-9AF0-8D76486B692D}"/>
    <cellStyle name="Note 3 3 8" xfId="3590" xr:uid="{CBD0B280-6C71-477B-8F3F-EF788E2D7B49}"/>
    <cellStyle name="Note 3 3 9" xfId="3671" xr:uid="{9C5A9F99-8AFF-4E85-88D6-930D6AE69908}"/>
    <cellStyle name="Note 3 3 9 2" xfId="7890" xr:uid="{35E916F2-EB17-4404-848A-5098F2B1A985}"/>
    <cellStyle name="Note 3 4" xfId="564" xr:uid="{00000000-0005-0000-0000-0000F9030000}"/>
    <cellStyle name="Note 3 4 10" xfId="1443" xr:uid="{CA055520-B2A4-40EC-B66D-C2FB40656EB3}"/>
    <cellStyle name="Note 3 4 2" xfId="1028" xr:uid="{00000000-0005-0000-0000-0000FA030000}"/>
    <cellStyle name="Note 3 4 2 2" xfId="4087" xr:uid="{95AAB665-7C50-4164-A111-379A2A05EFFD}"/>
    <cellStyle name="Note 3 4 2 2 2" xfId="8305" xr:uid="{62850F83-B253-4C70-B46C-1019037E4BA1}"/>
    <cellStyle name="Note 3 4 2 3" xfId="6160" xr:uid="{BF4173C6-5BC8-4AB7-A695-F894DE66551F}"/>
    <cellStyle name="Note 3 4 2 4" xfId="1858" xr:uid="{CF3D5E17-A671-43E9-83D6-6D243D9C02F5}"/>
    <cellStyle name="Note 3 4 3" xfId="2271" xr:uid="{ABF40EBE-C565-46CB-9485-D6156AF2B172}"/>
    <cellStyle name="Note 3 4 3 2" xfId="4500" xr:uid="{58973339-0767-4648-89D5-0C97A2551FD9}"/>
    <cellStyle name="Note 3 4 3 2 2" xfId="8718" xr:uid="{7BD263F0-77DC-4CAE-8541-4611043F319A}"/>
    <cellStyle name="Note 3 4 3 3" xfId="6573" xr:uid="{1E91294B-1930-48A8-95FA-8895B4F85140}"/>
    <cellStyle name="Note 3 4 4" xfId="2684" xr:uid="{3449D085-CBC5-489E-8160-80F53F47861F}"/>
    <cellStyle name="Note 3 4 4 2" xfId="4913" xr:uid="{0B36C054-42B2-4A95-96BF-9F112B1DB2BA}"/>
    <cellStyle name="Note 3 4 4 2 2" xfId="9131" xr:uid="{96C6B71D-3C74-44E1-B02C-FAF1C00B4B17}"/>
    <cellStyle name="Note 3 4 4 3" xfId="6986" xr:uid="{09B52597-A3D0-4FC0-8E62-18A3B65B546B}"/>
    <cellStyle name="Note 3 4 5" xfId="3097" xr:uid="{E265C27C-385E-49D3-A23A-8730AAD9D794}"/>
    <cellStyle name="Note 3 4 5 2" xfId="5326" xr:uid="{116E6ABA-3951-4A6F-8B5D-E75440FB4140}"/>
    <cellStyle name="Note 3 4 5 2 2" xfId="9544" xr:uid="{4CEAFF1F-5708-4EE6-AF5B-1B06E1B2099E}"/>
    <cellStyle name="Note 3 4 5 3" xfId="7399" xr:uid="{FDC5B038-B9AE-4CF4-A6FA-0B258C1EB49E}"/>
    <cellStyle name="Note 3 4 6" xfId="3533" xr:uid="{9327C3BD-DFC7-4F0B-B8F0-92CF8FCEB7B3}"/>
    <cellStyle name="Note 3 4 6 2" xfId="7812" xr:uid="{FDC43DF6-CDC4-4A8D-AED8-2D490EA40885}"/>
    <cellStyle name="Note 3 4 7" xfId="3592" xr:uid="{3CFF2ADD-0973-41A5-B5EA-9C2772F05ED5}"/>
    <cellStyle name="Note 3 4 8" xfId="3673" xr:uid="{5BE972E0-89D1-4A16-9F35-8D486288A914}"/>
    <cellStyle name="Note 3 4 8 2" xfId="7892" xr:uid="{1C073D2A-AFCD-4E92-B71F-662393079AC1}"/>
    <cellStyle name="Note 3 4 9" xfId="5747" xr:uid="{5BFB74F8-1E23-4A55-9558-EEF454D80C38}"/>
    <cellStyle name="Note 3 5" xfId="565" xr:uid="{00000000-0005-0000-0000-0000FB030000}"/>
    <cellStyle name="Note 3 5 10" xfId="1444" xr:uid="{43F5A395-D748-4419-B716-00F2C78871BF}"/>
    <cellStyle name="Note 3 5 2" xfId="1029" xr:uid="{00000000-0005-0000-0000-0000FC030000}"/>
    <cellStyle name="Note 3 5 2 2" xfId="4088" xr:uid="{514CBA93-0A9E-44AB-9A3C-167CD6B4B0F4}"/>
    <cellStyle name="Note 3 5 2 2 2" xfId="8306" xr:uid="{9D3F3CFB-A58C-4F2B-9179-90025C09ADB4}"/>
    <cellStyle name="Note 3 5 2 3" xfId="6161" xr:uid="{4695AC1E-75F6-43C7-AE57-5D0D390A86AA}"/>
    <cellStyle name="Note 3 5 2 4" xfId="1859" xr:uid="{A3BF4A1E-94A0-4EC1-8D41-09113BB62B3B}"/>
    <cellStyle name="Note 3 5 3" xfId="2272" xr:uid="{CA53DB50-BE99-4BDA-8BDB-FFF3EF37412A}"/>
    <cellStyle name="Note 3 5 3 2" xfId="4501" xr:uid="{FC924FFF-C767-4B23-A4E4-40CDEE54C058}"/>
    <cellStyle name="Note 3 5 3 2 2" xfId="8719" xr:uid="{DD92FBC8-9EB0-4C57-9289-599B78CD2059}"/>
    <cellStyle name="Note 3 5 3 3" xfId="6574" xr:uid="{8B9527D3-B707-4E44-9578-096A1DDED845}"/>
    <cellStyle name="Note 3 5 4" xfId="2685" xr:uid="{4565633B-3FE5-40A0-B857-CC5DB0CD14F2}"/>
    <cellStyle name="Note 3 5 4 2" xfId="4914" xr:uid="{2ADE4755-57FA-4409-BCF9-5D6848165AFE}"/>
    <cellStyle name="Note 3 5 4 2 2" xfId="9132" xr:uid="{088D0DB1-6C70-4277-93FD-37935EC9A092}"/>
    <cellStyle name="Note 3 5 4 3" xfId="6987" xr:uid="{4B4FA4D6-6B30-42A6-B849-2695866B5F36}"/>
    <cellStyle name="Note 3 5 5" xfId="3098" xr:uid="{80FEDEDE-9037-42EA-8F8A-1E5D4C5A9799}"/>
    <cellStyle name="Note 3 5 5 2" xfId="5327" xr:uid="{387876D4-6266-40D7-8387-60886E55E88C}"/>
    <cellStyle name="Note 3 5 5 2 2" xfId="9545" xr:uid="{616DAB4A-5092-4C46-B0BA-6C46F8B747A3}"/>
    <cellStyle name="Note 3 5 5 3" xfId="7400" xr:uid="{46967ADE-B5F7-4FA1-A4AB-6D73CBE9670F}"/>
    <cellStyle name="Note 3 5 6" xfId="3534" xr:uid="{E9B88606-D933-4458-B77C-653A3222C8FF}"/>
    <cellStyle name="Note 3 5 6 2" xfId="7813" xr:uid="{3F0CFF74-CD9F-4987-A9E1-FC8C8DA9FD49}"/>
    <cellStyle name="Note 3 5 7" xfId="3593" xr:uid="{BD38FF8D-3E64-4445-B952-AA9B40E5E7F7}"/>
    <cellStyle name="Note 3 5 8" xfId="3674" xr:uid="{C7009CAB-E38A-42F5-8DA5-7407F4A756E3}"/>
    <cellStyle name="Note 3 5 8 2" xfId="7893" xr:uid="{A11AF5AA-4E7D-4167-8B75-EFD3D70146AC}"/>
    <cellStyle name="Note 3 5 9" xfId="5748" xr:uid="{9E27260F-C94E-4D0E-8864-808128E2F1A8}"/>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5331" xr:uid="{00D9B009-441F-44F6-8C93-2B38DF534677}"/>
    <cellStyle name="Percent 4" xfId="5334" xr:uid="{16AF3B4C-114E-4233-9785-1893A82D5877}"/>
    <cellStyle name="Percent 4 2" xfId="9548" xr:uid="{E264DEF8-C7F2-4550-97D6-598AA86AE42A}"/>
    <cellStyle name="Percent 4 3" xfId="9551" xr:uid="{89C27015-65AF-40BD-B10C-91EF9EB8D7C8}"/>
    <cellStyle name="Percent 4 3 2" xfId="9554" xr:uid="{4B454CA1-32A8-4DDA-B78C-141FA20A9BBF}"/>
    <cellStyle name="Text Entry" xfId="568" xr:uid="{00000000-0005-0000-0000-000002040000}"/>
    <cellStyle name="Title 2" xfId="569" xr:uid="{00000000-0005-0000-0000-000003040000}"/>
    <cellStyle name="Title 2 2" xfId="3594" xr:uid="{530D1680-9A01-44C2-8EF0-E031A79D2CEE}"/>
    <cellStyle name="Title 2 3" xfId="3675" xr:uid="{7392E85C-9B8D-473F-9247-24C60FB4A303}"/>
    <cellStyle name="Total" xfId="570" builtinId="25" customBuiltin="1"/>
    <cellStyle name="Total 2" xfId="571" xr:uid="{00000000-0005-0000-0000-000005040000}"/>
    <cellStyle name="Warning Text" xfId="572" builtinId="11" customBuiltin="1"/>
  </cellStyles>
  <dxfs count="9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rimestordev.sharepoint.com/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rimestordev.sharepoint.com/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rimestordev.sharepoint.com/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C105" workbookViewId="0">
      <selection activeCell="E26" sqref="E26:AK26"/>
    </sheetView>
  </sheetViews>
  <sheetFormatPr defaultColWidth="0" defaultRowHeight="12.3" zeroHeight="1"/>
  <cols>
    <col min="1" max="38" width="2.44140625" customWidth="1"/>
    <col min="39" max="16384" width="8.71875" hidden="1"/>
  </cols>
  <sheetData>
    <row r="1" spans="1:38">
      <c r="A1" s="934" t="s">
        <v>0</v>
      </c>
      <c r="B1" s="934"/>
      <c r="C1" s="934"/>
      <c r="D1" s="934"/>
      <c r="E1" s="934"/>
      <c r="F1" s="934"/>
      <c r="G1" s="934"/>
      <c r="H1" s="934"/>
      <c r="I1" s="934"/>
      <c r="J1" s="934"/>
      <c r="K1" s="934"/>
      <c r="L1" s="934"/>
      <c r="M1" s="934"/>
      <c r="N1" s="934"/>
      <c r="O1" s="934"/>
      <c r="P1" s="934"/>
      <c r="Q1" s="934"/>
      <c r="R1" s="934"/>
      <c r="S1" s="934"/>
      <c r="T1" s="934"/>
      <c r="U1" s="934"/>
      <c r="V1" s="934"/>
      <c r="W1" s="934"/>
      <c r="X1" s="934"/>
      <c r="Y1" s="934"/>
      <c r="Z1" s="934"/>
      <c r="AA1" s="934"/>
      <c r="AB1" s="934"/>
      <c r="AC1" s="934"/>
      <c r="AD1" s="934"/>
      <c r="AE1" s="934"/>
      <c r="AF1" s="934"/>
      <c r="AG1" s="934"/>
      <c r="AH1" s="934"/>
      <c r="AI1" s="934"/>
      <c r="AJ1" s="934"/>
      <c r="AK1" s="934"/>
      <c r="AL1" s="935"/>
    </row>
    <row r="2" spans="1:38" ht="12.6" thickBot="1">
      <c r="A2" s="936"/>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7"/>
    </row>
    <row r="3" spans="1:38" ht="12.6" thickTop="1"/>
    <row r="4" spans="1:38">
      <c r="A4" s="9"/>
      <c r="B4" s="146" t="s">
        <v>1</v>
      </c>
      <c r="C4" s="146" t="s">
        <v>2</v>
      </c>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4.1" customHeight="1">
      <c r="A7" s="37"/>
      <c r="C7" s="3"/>
      <c r="D7" s="938" t="s">
        <v>5</v>
      </c>
      <c r="E7" s="938"/>
      <c r="F7" s="938"/>
      <c r="G7" s="938"/>
      <c r="H7" s="938"/>
      <c r="I7" s="938"/>
      <c r="J7" s="938"/>
      <c r="K7" s="938"/>
      <c r="L7" s="938"/>
      <c r="M7" s="938"/>
      <c r="N7" s="938"/>
      <c r="O7" s="938"/>
      <c r="P7" s="938"/>
      <c r="Q7" s="938"/>
      <c r="R7" s="938"/>
      <c r="S7" s="938"/>
      <c r="T7" s="938"/>
      <c r="U7" s="938"/>
      <c r="V7" s="938"/>
      <c r="W7" s="938"/>
      <c r="X7" s="938"/>
      <c r="Y7" s="938"/>
      <c r="Z7" s="938"/>
      <c r="AA7" s="938"/>
      <c r="AB7" s="938"/>
      <c r="AC7" s="938"/>
      <c r="AD7" s="938"/>
      <c r="AE7" s="938"/>
      <c r="AF7" s="938"/>
      <c r="AG7" s="938"/>
      <c r="AH7" s="938"/>
      <c r="AI7" s="938"/>
      <c r="AJ7" s="938"/>
      <c r="AK7" s="938"/>
    </row>
    <row r="8" spans="1:38">
      <c r="A8" s="37"/>
      <c r="C8" s="3"/>
      <c r="D8" s="938"/>
      <c r="E8" s="938"/>
      <c r="F8" s="938"/>
      <c r="G8" s="938"/>
      <c r="H8" s="938"/>
      <c r="I8" s="938"/>
      <c r="J8" s="938"/>
      <c r="K8" s="938"/>
      <c r="L8" s="938"/>
      <c r="M8" s="938"/>
      <c r="N8" s="938"/>
      <c r="O8" s="938"/>
      <c r="P8" s="938"/>
      <c r="Q8" s="938"/>
      <c r="R8" s="938"/>
      <c r="S8" s="938"/>
      <c r="T8" s="938"/>
      <c r="U8" s="938"/>
      <c r="V8" s="938"/>
      <c r="W8" s="938"/>
      <c r="X8" s="938"/>
      <c r="Y8" s="938"/>
      <c r="Z8" s="938"/>
      <c r="AA8" s="938"/>
      <c r="AB8" s="938"/>
      <c r="AC8" s="938"/>
      <c r="AD8" s="938"/>
      <c r="AE8" s="938"/>
      <c r="AF8" s="938"/>
      <c r="AG8" s="938"/>
      <c r="AH8" s="938"/>
      <c r="AI8" s="938"/>
      <c r="AJ8" s="938"/>
      <c r="AK8" s="938"/>
    </row>
    <row r="9" spans="1:38">
      <c r="A9" s="37"/>
      <c r="C9" s="3"/>
      <c r="D9" s="938"/>
      <c r="E9" s="938"/>
      <c r="F9" s="938"/>
      <c r="G9" s="938"/>
      <c r="H9" s="938"/>
      <c r="I9" s="938"/>
      <c r="J9" s="938"/>
      <c r="K9" s="938"/>
      <c r="L9" s="938"/>
      <c r="M9" s="938"/>
      <c r="N9" s="938"/>
      <c r="O9" s="938"/>
      <c r="P9" s="938"/>
      <c r="Q9" s="938"/>
      <c r="R9" s="938"/>
      <c r="S9" s="938"/>
      <c r="T9" s="938"/>
      <c r="U9" s="938"/>
      <c r="V9" s="938"/>
      <c r="W9" s="938"/>
      <c r="X9" s="938"/>
      <c r="Y9" s="938"/>
      <c r="Z9" s="938"/>
      <c r="AA9" s="938"/>
      <c r="AB9" s="938"/>
      <c r="AC9" s="938"/>
      <c r="AD9" s="938"/>
      <c r="AE9" s="938"/>
      <c r="AF9" s="938"/>
      <c r="AG9" s="938"/>
      <c r="AH9" s="938"/>
      <c r="AI9" s="938"/>
      <c r="AJ9" s="938"/>
      <c r="AK9" s="938"/>
    </row>
    <row r="10" spans="1:38">
      <c r="A10" s="37"/>
      <c r="C10" s="3"/>
      <c r="D10" s="938"/>
      <c r="E10" s="938"/>
      <c r="F10" s="938"/>
      <c r="G10" s="938"/>
      <c r="H10" s="938"/>
      <c r="I10" s="938"/>
      <c r="J10" s="938"/>
      <c r="K10" s="938"/>
      <c r="L10" s="938"/>
      <c r="M10" s="938"/>
      <c r="N10" s="938"/>
      <c r="O10" s="938"/>
      <c r="P10" s="938"/>
      <c r="Q10" s="938"/>
      <c r="R10" s="938"/>
      <c r="S10" s="938"/>
      <c r="T10" s="938"/>
      <c r="U10" s="938"/>
      <c r="V10" s="938"/>
      <c r="W10" s="938"/>
      <c r="X10" s="938"/>
      <c r="Y10" s="938"/>
      <c r="Z10" s="938"/>
      <c r="AA10" s="938"/>
      <c r="AB10" s="938"/>
      <c r="AC10" s="938"/>
      <c r="AD10" s="938"/>
      <c r="AE10" s="938"/>
      <c r="AF10" s="938"/>
      <c r="AG10" s="938"/>
      <c r="AH10" s="938"/>
      <c r="AI10" s="938"/>
      <c r="AJ10" s="938"/>
      <c r="AK10" s="938"/>
    </row>
    <row r="11" spans="1:38">
      <c r="A11" s="37"/>
      <c r="C11" s="3"/>
      <c r="D11" s="938"/>
      <c r="E11" s="938"/>
      <c r="F11" s="938"/>
      <c r="G11" s="938"/>
      <c r="H11" s="938"/>
      <c r="I11" s="938"/>
      <c r="J11" s="938"/>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row>
    <row r="12" spans="1:38">
      <c r="A12" s="37"/>
      <c r="C12" s="3"/>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row>
    <row r="13" spans="1:38">
      <c r="A13" s="37"/>
      <c r="C13" s="3"/>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row>
    <row r="14" spans="1:38">
      <c r="A14" s="37"/>
      <c r="C14" s="3"/>
      <c r="D14" s="938"/>
      <c r="E14" s="938"/>
      <c r="F14" s="938"/>
      <c r="G14" s="938"/>
      <c r="H14" s="938"/>
      <c r="I14" s="938"/>
      <c r="J14" s="938"/>
      <c r="K14" s="938"/>
      <c r="L14" s="938"/>
      <c r="M14" s="938"/>
      <c r="N14" s="938"/>
      <c r="O14" s="938"/>
      <c r="P14" s="938"/>
      <c r="Q14" s="938"/>
      <c r="R14" s="938"/>
      <c r="S14" s="938"/>
      <c r="T14" s="938"/>
      <c r="U14" s="938"/>
      <c r="V14" s="938"/>
      <c r="W14" s="938"/>
      <c r="X14" s="938"/>
      <c r="Y14" s="938"/>
      <c r="Z14" s="938"/>
      <c r="AA14" s="938"/>
      <c r="AB14" s="938"/>
      <c r="AC14" s="938"/>
      <c r="AD14" s="938"/>
      <c r="AE14" s="938"/>
      <c r="AF14" s="938"/>
      <c r="AG14" s="938"/>
      <c r="AH14" s="938"/>
      <c r="AI14" s="938"/>
      <c r="AJ14" s="938"/>
      <c r="AK14" s="938"/>
    </row>
    <row r="15" spans="1:38">
      <c r="A15" s="37"/>
      <c r="C15" s="3"/>
      <c r="D15" s="938"/>
      <c r="E15" s="938"/>
      <c r="F15" s="938"/>
      <c r="G15" s="938"/>
      <c r="H15" s="938"/>
      <c r="I15" s="938"/>
      <c r="J15" s="938"/>
      <c r="K15" s="938"/>
      <c r="L15" s="938"/>
      <c r="M15" s="938"/>
      <c r="N15" s="938"/>
      <c r="O15" s="938"/>
      <c r="P15" s="938"/>
      <c r="Q15" s="938"/>
      <c r="R15" s="938"/>
      <c r="S15" s="938"/>
      <c r="T15" s="938"/>
      <c r="U15" s="938"/>
      <c r="V15" s="938"/>
      <c r="W15" s="938"/>
      <c r="X15" s="938"/>
      <c r="Y15" s="938"/>
      <c r="Z15" s="938"/>
      <c r="AA15" s="938"/>
      <c r="AB15" s="938"/>
      <c r="AC15" s="938"/>
      <c r="AD15" s="938"/>
      <c r="AE15" s="938"/>
      <c r="AF15" s="938"/>
      <c r="AG15" s="938"/>
      <c r="AH15" s="938"/>
      <c r="AI15" s="938"/>
      <c r="AJ15" s="938"/>
      <c r="AK15" s="938"/>
    </row>
    <row r="16" spans="1:38">
      <c r="A16" s="37"/>
      <c r="C16" s="3"/>
      <c r="D16" s="938"/>
      <c r="E16" s="938"/>
      <c r="F16" s="938"/>
      <c r="G16" s="938"/>
      <c r="H16" s="938"/>
      <c r="I16" s="938"/>
      <c r="J16" s="938"/>
      <c r="K16" s="938"/>
      <c r="L16" s="938"/>
      <c r="M16" s="938"/>
      <c r="N16" s="938"/>
      <c r="O16" s="938"/>
      <c r="P16" s="938"/>
      <c r="Q16" s="938"/>
      <c r="R16" s="938"/>
      <c r="S16" s="938"/>
      <c r="T16" s="938"/>
      <c r="U16" s="938"/>
      <c r="V16" s="938"/>
      <c r="W16" s="938"/>
      <c r="X16" s="938"/>
      <c r="Y16" s="938"/>
      <c r="Z16" s="938"/>
      <c r="AA16" s="938"/>
      <c r="AB16" s="938"/>
      <c r="AC16" s="938"/>
      <c r="AD16" s="938"/>
      <c r="AE16" s="938"/>
      <c r="AF16" s="938"/>
      <c r="AG16" s="938"/>
      <c r="AH16" s="938"/>
      <c r="AI16" s="938"/>
      <c r="AJ16" s="938"/>
      <c r="AK16" s="938"/>
    </row>
    <row r="17" spans="1:38">
      <c r="A17" s="37"/>
      <c r="C17" s="3"/>
      <c r="D17" s="938"/>
      <c r="E17" s="938"/>
      <c r="F17" s="938"/>
      <c r="G17" s="938"/>
      <c r="H17" s="938"/>
      <c r="I17" s="938"/>
      <c r="J17" s="938"/>
      <c r="K17" s="938"/>
      <c r="L17" s="938"/>
      <c r="M17" s="938"/>
      <c r="N17" s="938"/>
      <c r="O17" s="938"/>
      <c r="P17" s="938"/>
      <c r="Q17" s="938"/>
      <c r="R17" s="938"/>
      <c r="S17" s="938"/>
      <c r="T17" s="938"/>
      <c r="U17" s="938"/>
      <c r="V17" s="938"/>
      <c r="W17" s="938"/>
      <c r="X17" s="938"/>
      <c r="Y17" s="938"/>
      <c r="Z17" s="938"/>
      <c r="AA17" s="938"/>
      <c r="AB17" s="938"/>
      <c r="AC17" s="938"/>
      <c r="AD17" s="938"/>
      <c r="AE17" s="938"/>
      <c r="AF17" s="938"/>
      <c r="AG17" s="938"/>
      <c r="AH17" s="938"/>
      <c r="AI17" s="938"/>
      <c r="AJ17" s="938"/>
      <c r="AK17" s="938"/>
    </row>
    <row r="18" spans="1:38" ht="11.1" customHeight="1">
      <c r="A18" s="37"/>
      <c r="C18" s="3"/>
      <c r="D18" s="938"/>
      <c r="E18" s="938"/>
      <c r="F18" s="938"/>
      <c r="G18" s="938"/>
      <c r="H18" s="938"/>
      <c r="I18" s="938"/>
      <c r="J18" s="938"/>
      <c r="K18" s="938"/>
      <c r="L18" s="938"/>
      <c r="M18" s="938"/>
      <c r="N18" s="938"/>
      <c r="O18" s="938"/>
      <c r="P18" s="938"/>
      <c r="Q18" s="938"/>
      <c r="R18" s="938"/>
      <c r="S18" s="938"/>
      <c r="T18" s="938"/>
      <c r="U18" s="938"/>
      <c r="V18" s="938"/>
      <c r="W18" s="938"/>
      <c r="X18" s="938"/>
      <c r="Y18" s="938"/>
      <c r="Z18" s="938"/>
      <c r="AA18" s="938"/>
      <c r="AB18" s="938"/>
      <c r="AC18" s="938"/>
      <c r="AD18" s="938"/>
      <c r="AE18" s="938"/>
      <c r="AF18" s="938"/>
      <c r="AG18" s="938"/>
      <c r="AH18" s="938"/>
      <c r="AI18" s="938"/>
      <c r="AJ18" s="938"/>
      <c r="AK18" s="938"/>
    </row>
    <row r="19" spans="1:38" ht="14.1" customHeight="1">
      <c r="A19" s="37"/>
      <c r="C19" s="3"/>
      <c r="D19" s="938" t="s">
        <v>6</v>
      </c>
      <c r="E19" s="938"/>
      <c r="F19" s="938"/>
      <c r="G19" s="938"/>
      <c r="H19" s="938"/>
      <c r="I19" s="938"/>
      <c r="J19" s="938"/>
      <c r="K19" s="938"/>
      <c r="L19" s="938"/>
      <c r="M19" s="938"/>
      <c r="N19" s="938"/>
      <c r="O19" s="938"/>
      <c r="P19" s="938"/>
      <c r="Q19" s="938"/>
      <c r="R19" s="938"/>
      <c r="S19" s="938"/>
      <c r="T19" s="938"/>
      <c r="U19" s="938"/>
      <c r="V19" s="938"/>
      <c r="W19" s="938"/>
      <c r="X19" s="938"/>
      <c r="Y19" s="938"/>
      <c r="Z19" s="938"/>
      <c r="AA19" s="938"/>
      <c r="AB19" s="938"/>
      <c r="AC19" s="938"/>
      <c r="AD19" s="938"/>
      <c r="AE19" s="938"/>
      <c r="AF19" s="938"/>
      <c r="AG19" s="938"/>
      <c r="AH19" s="938"/>
      <c r="AI19" s="938"/>
      <c r="AJ19" s="938"/>
      <c r="AK19" s="938"/>
    </row>
    <row r="20" spans="1:38">
      <c r="A20" s="37"/>
      <c r="C20" s="3"/>
      <c r="D20" s="938"/>
      <c r="E20" s="938"/>
      <c r="F20" s="938"/>
      <c r="G20" s="938"/>
      <c r="H20" s="938"/>
      <c r="I20" s="938"/>
      <c r="J20" s="938"/>
      <c r="K20" s="938"/>
      <c r="L20" s="938"/>
      <c r="M20" s="938"/>
      <c r="N20" s="938"/>
      <c r="O20" s="938"/>
      <c r="P20" s="938"/>
      <c r="Q20" s="938"/>
      <c r="R20" s="938"/>
      <c r="S20" s="938"/>
      <c r="T20" s="938"/>
      <c r="U20" s="938"/>
      <c r="V20" s="938"/>
      <c r="W20" s="938"/>
      <c r="X20" s="938"/>
      <c r="Y20" s="938"/>
      <c r="Z20" s="938"/>
      <c r="AA20" s="938"/>
      <c r="AB20" s="938"/>
      <c r="AC20" s="938"/>
      <c r="AD20" s="938"/>
      <c r="AE20" s="938"/>
      <c r="AF20" s="938"/>
      <c r="AG20" s="938"/>
      <c r="AH20" s="938"/>
      <c r="AI20" s="938"/>
      <c r="AJ20" s="938"/>
      <c r="AK20" s="938"/>
    </row>
    <row r="21" spans="1:38">
      <c r="A21" s="37"/>
      <c r="C21" s="3"/>
      <c r="D21" s="938"/>
      <c r="E21" s="938"/>
      <c r="F21" s="938"/>
      <c r="G21" s="938"/>
      <c r="H21" s="938"/>
      <c r="I21" s="938"/>
      <c r="J21" s="938"/>
      <c r="K21" s="938"/>
      <c r="L21" s="938"/>
      <c r="M21" s="938"/>
      <c r="N21" s="938"/>
      <c r="O21" s="938"/>
      <c r="P21" s="938"/>
      <c r="Q21" s="938"/>
      <c r="R21" s="938"/>
      <c r="S21" s="938"/>
      <c r="T21" s="938"/>
      <c r="U21" s="938"/>
      <c r="V21" s="938"/>
      <c r="W21" s="938"/>
      <c r="X21" s="938"/>
      <c r="Y21" s="938"/>
      <c r="Z21" s="938"/>
      <c r="AA21" s="938"/>
      <c r="AB21" s="938"/>
      <c r="AC21" s="938"/>
      <c r="AD21" s="938"/>
      <c r="AE21" s="938"/>
      <c r="AF21" s="938"/>
      <c r="AG21" s="938"/>
      <c r="AH21" s="938"/>
      <c r="AI21" s="938"/>
      <c r="AJ21" s="938"/>
      <c r="AK21" s="938"/>
    </row>
    <row r="22" spans="1:38">
      <c r="A22" s="37"/>
      <c r="C22" s="3"/>
      <c r="D22" s="938"/>
      <c r="E22" s="938"/>
      <c r="F22" s="938"/>
      <c r="G22" s="938"/>
      <c r="H22" s="938"/>
      <c r="I22" s="938"/>
      <c r="J22" s="938"/>
      <c r="K22" s="938"/>
      <c r="L22" s="938"/>
      <c r="M22" s="938"/>
      <c r="N22" s="938"/>
      <c r="O22" s="938"/>
      <c r="P22" s="938"/>
      <c r="Q22" s="938"/>
      <c r="R22" s="938"/>
      <c r="S22" s="938"/>
      <c r="T22" s="938"/>
      <c r="U22" s="938"/>
      <c r="V22" s="938"/>
      <c r="W22" s="938"/>
      <c r="X22" s="938"/>
      <c r="Y22" s="938"/>
      <c r="Z22" s="938"/>
      <c r="AA22" s="938"/>
      <c r="AB22" s="938"/>
      <c r="AC22" s="938"/>
      <c r="AD22" s="938"/>
      <c r="AE22" s="938"/>
      <c r="AF22" s="938"/>
      <c r="AG22" s="938"/>
      <c r="AH22" s="938"/>
      <c r="AI22" s="938"/>
      <c r="AJ22" s="938"/>
      <c r="AK22" s="938"/>
    </row>
    <row r="23" spans="1:38">
      <c r="A23" s="37"/>
      <c r="C23" s="3"/>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row>
    <row r="24" spans="1:38">
      <c r="A24" s="37"/>
      <c r="C24" s="3"/>
      <c r="D24" s="938"/>
      <c r="E24" s="938"/>
      <c r="F24" s="938"/>
      <c r="G24" s="938"/>
      <c r="H24" s="938"/>
      <c r="I24" s="938"/>
      <c r="J24" s="938"/>
      <c r="K24" s="938"/>
      <c r="L24" s="938"/>
      <c r="M24" s="938"/>
      <c r="N24" s="938"/>
      <c r="O24" s="938"/>
      <c r="P24" s="938"/>
      <c r="Q24" s="938"/>
      <c r="R24" s="938"/>
      <c r="S24" s="938"/>
      <c r="T24" s="938"/>
      <c r="U24" s="938"/>
      <c r="V24" s="938"/>
      <c r="W24" s="938"/>
      <c r="X24" s="938"/>
      <c r="Y24" s="938"/>
      <c r="Z24" s="938"/>
      <c r="AA24" s="938"/>
      <c r="AB24" s="938"/>
      <c r="AC24" s="938"/>
      <c r="AD24" s="938"/>
      <c r="AE24" s="938"/>
      <c r="AF24" s="938"/>
      <c r="AG24" s="938"/>
      <c r="AH24" s="938"/>
      <c r="AI24" s="938"/>
      <c r="AJ24" s="938"/>
      <c r="AK24" s="938"/>
    </row>
    <row r="25" spans="1:38">
      <c r="A25" s="37"/>
      <c r="C25" s="3"/>
      <c r="D25" s="938"/>
      <c r="E25" s="938"/>
      <c r="F25" s="938"/>
      <c r="G25" s="938"/>
      <c r="H25" s="938"/>
      <c r="I25" s="938"/>
      <c r="J25" s="938"/>
      <c r="K25" s="938"/>
      <c r="L25" s="938"/>
      <c r="M25" s="938"/>
      <c r="N25" s="938"/>
      <c r="O25" s="938"/>
      <c r="P25" s="938"/>
      <c r="Q25" s="938"/>
      <c r="R25" s="938"/>
      <c r="S25" s="938"/>
      <c r="T25" s="938"/>
      <c r="U25" s="938"/>
      <c r="V25" s="938"/>
      <c r="W25" s="938"/>
      <c r="X25" s="938"/>
      <c r="Y25" s="938"/>
      <c r="Z25" s="938"/>
      <c r="AA25" s="938"/>
      <c r="AB25" s="938"/>
      <c r="AC25" s="938"/>
      <c r="AD25" s="938"/>
      <c r="AE25" s="938"/>
      <c r="AF25" s="938"/>
      <c r="AG25" s="938"/>
      <c r="AH25" s="938"/>
      <c r="AI25" s="938"/>
      <c r="AJ25" s="938"/>
      <c r="AK25" s="938"/>
    </row>
    <row r="26" spans="1:38">
      <c r="A26" s="37"/>
      <c r="C26" s="3"/>
      <c r="D26" s="37"/>
      <c r="E26" s="945" t="s">
        <v>7</v>
      </c>
      <c r="F26" s="945"/>
      <c r="G26" s="945"/>
      <c r="H26" s="945"/>
      <c r="I26" s="945"/>
      <c r="J26" s="945"/>
      <c r="K26" s="945"/>
      <c r="L26" s="945"/>
      <c r="M26" s="945"/>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8">
      <c r="A27" s="37"/>
      <c r="C27" s="3"/>
      <c r="E27" s="945" t="s">
        <v>8</v>
      </c>
      <c r="F27" s="945"/>
      <c r="G27" s="945"/>
      <c r="H27" s="945"/>
      <c r="I27" s="945"/>
      <c r="J27" s="945"/>
      <c r="K27" s="945"/>
      <c r="L27" s="945"/>
      <c r="M27" s="945"/>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44" t="s">
        <v>9</v>
      </c>
      <c r="E29" s="944"/>
      <c r="F29" s="944"/>
      <c r="G29" s="944"/>
      <c r="H29" s="944"/>
      <c r="I29" s="944"/>
      <c r="J29" s="944"/>
      <c r="K29" s="944"/>
      <c r="L29" s="944"/>
      <c r="M29" s="944"/>
      <c r="N29" s="944"/>
      <c r="O29" s="944"/>
      <c r="P29" s="944"/>
      <c r="Q29" s="944"/>
      <c r="R29" s="944"/>
      <c r="S29" s="944"/>
      <c r="T29" s="944"/>
      <c r="U29" s="944"/>
      <c r="V29" s="944"/>
      <c r="W29" s="944"/>
      <c r="X29" s="944"/>
      <c r="Y29" s="944"/>
      <c r="Z29" s="944"/>
      <c r="AA29" s="944"/>
      <c r="AB29" s="944"/>
      <c r="AC29" s="944"/>
      <c r="AD29" s="944"/>
      <c r="AE29" s="944"/>
      <c r="AF29" s="944"/>
      <c r="AG29" s="944"/>
      <c r="AH29" s="944"/>
      <c r="AI29" s="944"/>
      <c r="AJ29" s="944"/>
      <c r="AK29" s="944"/>
      <c r="AL29"/>
    </row>
    <row r="30" spans="1:38">
      <c r="A30" s="37"/>
      <c r="D30" s="944"/>
      <c r="E30" s="944"/>
      <c r="F30" s="944"/>
      <c r="G30" s="944"/>
      <c r="H30" s="944"/>
      <c r="I30" s="944"/>
      <c r="J30" s="944"/>
      <c r="K30" s="944"/>
      <c r="L30" s="944"/>
      <c r="M30" s="944"/>
      <c r="N30" s="944"/>
      <c r="O30" s="944"/>
      <c r="P30" s="944"/>
      <c r="Q30" s="944"/>
      <c r="R30" s="944"/>
      <c r="S30" s="944"/>
      <c r="T30" s="944"/>
      <c r="U30" s="944"/>
      <c r="V30" s="944"/>
      <c r="W30" s="944"/>
      <c r="X30" s="944"/>
      <c r="Y30" s="944"/>
      <c r="Z30" s="944"/>
      <c r="AA30" s="944"/>
      <c r="AB30" s="944"/>
      <c r="AC30" s="944"/>
      <c r="AD30" s="944"/>
      <c r="AE30" s="944"/>
      <c r="AF30" s="944"/>
      <c r="AG30" s="944"/>
      <c r="AH30" s="944"/>
      <c r="AI30" s="944"/>
      <c r="AJ30" s="944"/>
      <c r="AK30" s="944"/>
    </row>
    <row r="31" spans="1:38">
      <c r="A31" s="37"/>
      <c r="D31" s="136"/>
      <c r="E31" s="946" t="s">
        <v>10</v>
      </c>
      <c r="F31" s="946"/>
      <c r="G31" s="946"/>
      <c r="H31" s="946"/>
      <c r="I31" s="946"/>
      <c r="J31" s="946"/>
      <c r="K31" s="946"/>
      <c r="L31" s="946"/>
      <c r="M31" s="946"/>
      <c r="N31" s="946"/>
      <c r="O31" s="946"/>
      <c r="P31" s="946"/>
      <c r="Q31" s="946"/>
      <c r="R31" s="946"/>
      <c r="S31" s="946"/>
      <c r="T31" s="946"/>
      <c r="U31" s="946"/>
      <c r="V31" s="946"/>
      <c r="W31" s="946"/>
      <c r="X31" s="946"/>
      <c r="Y31" s="946"/>
      <c r="Z31" s="946"/>
      <c r="AA31" s="946"/>
      <c r="AB31" s="946"/>
      <c r="AC31" s="946"/>
      <c r="AD31" s="946"/>
      <c r="AE31" s="946"/>
      <c r="AF31" s="946"/>
      <c r="AG31" s="946"/>
      <c r="AH31" s="946"/>
      <c r="AI31" s="946"/>
      <c r="AJ31" s="946"/>
      <c r="AK31" s="946"/>
    </row>
    <row r="32" spans="1:38">
      <c r="A32" s="37"/>
      <c r="D32" s="136"/>
      <c r="E32" s="946" t="s">
        <v>11</v>
      </c>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946"/>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4"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8" t="s">
        <v>17</v>
      </c>
      <c r="G36" s="938"/>
      <c r="H36" s="938"/>
      <c r="I36" s="938"/>
      <c r="J36" s="938"/>
      <c r="K36" s="938"/>
      <c r="L36" s="938"/>
      <c r="M36" s="938"/>
      <c r="N36" s="938"/>
      <c r="O36" s="938"/>
      <c r="P36" s="938"/>
      <c r="Q36" s="938"/>
      <c r="R36" s="938"/>
      <c r="S36" s="938"/>
      <c r="T36" s="938"/>
      <c r="U36" s="938"/>
      <c r="V36" s="938"/>
      <c r="W36" s="938"/>
      <c r="X36" s="938"/>
      <c r="Y36" s="938"/>
      <c r="Z36" s="938"/>
      <c r="AA36" s="938"/>
      <c r="AB36" s="938"/>
      <c r="AC36" s="938"/>
      <c r="AD36" s="938"/>
      <c r="AE36" s="938"/>
      <c r="AF36" s="938"/>
      <c r="AG36" s="938"/>
      <c r="AH36" s="938"/>
      <c r="AI36" s="938"/>
      <c r="AJ36" s="938"/>
      <c r="AK36" s="938"/>
    </row>
    <row r="37" spans="1:38">
      <c r="A37" s="37"/>
      <c r="C37" s="3"/>
      <c r="D37" s="37"/>
      <c r="E37" s="37"/>
      <c r="F37" s="938"/>
      <c r="G37" s="938"/>
      <c r="H37" s="938"/>
      <c r="I37" s="938"/>
      <c r="J37" s="938"/>
      <c r="K37" s="938"/>
      <c r="L37" s="938"/>
      <c r="M37" s="938"/>
      <c r="N37" s="938"/>
      <c r="O37" s="938"/>
      <c r="P37" s="938"/>
      <c r="Q37" s="938"/>
      <c r="R37" s="938"/>
      <c r="S37" s="938"/>
      <c r="T37" s="938"/>
      <c r="U37" s="938"/>
      <c r="V37" s="938"/>
      <c r="W37" s="938"/>
      <c r="X37" s="938"/>
      <c r="Y37" s="938"/>
      <c r="Z37" s="938"/>
      <c r="AA37" s="938"/>
      <c r="AB37" s="938"/>
      <c r="AC37" s="938"/>
      <c r="AD37" s="938"/>
      <c r="AE37" s="938"/>
      <c r="AF37" s="938"/>
      <c r="AG37" s="938"/>
      <c r="AH37" s="938"/>
      <c r="AI37" s="938"/>
      <c r="AJ37" s="938"/>
      <c r="AK37" s="938"/>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4.1" customHeight="1">
      <c r="A42" s="37"/>
      <c r="C42" s="3"/>
      <c r="D42" s="37"/>
      <c r="E42" s="37" t="s">
        <v>25</v>
      </c>
      <c r="F42" s="938" t="s">
        <v>26</v>
      </c>
      <c r="G42" s="938"/>
      <c r="H42" s="938"/>
      <c r="I42" s="938"/>
      <c r="J42" s="938"/>
      <c r="K42" s="938"/>
      <c r="L42" s="938"/>
      <c r="M42" s="938"/>
      <c r="N42" s="938"/>
      <c r="O42" s="938"/>
      <c r="P42" s="938"/>
      <c r="Q42" s="938"/>
      <c r="R42" s="938"/>
      <c r="S42" s="938"/>
      <c r="T42" s="938"/>
      <c r="U42" s="938"/>
      <c r="V42" s="938"/>
      <c r="W42" s="938"/>
      <c r="X42" s="938"/>
      <c r="Y42" s="938"/>
      <c r="Z42" s="938"/>
      <c r="AA42" s="938"/>
      <c r="AB42" s="938"/>
      <c r="AC42" s="938"/>
      <c r="AD42" s="938"/>
      <c r="AE42" s="938"/>
      <c r="AF42" s="938"/>
      <c r="AG42" s="938"/>
      <c r="AH42" s="938"/>
      <c r="AI42" s="938"/>
      <c r="AJ42" s="938"/>
      <c r="AK42" s="938"/>
    </row>
    <row r="43" spans="1:38">
      <c r="A43" s="37"/>
      <c r="C43" s="3"/>
      <c r="D43" s="37"/>
      <c r="E43" s="37"/>
      <c r="F43" s="938"/>
      <c r="G43" s="938"/>
      <c r="H43" s="938"/>
      <c r="I43" s="938"/>
      <c r="J43" s="938"/>
      <c r="K43" s="938"/>
      <c r="L43" s="938"/>
      <c r="M43" s="938"/>
      <c r="N43" s="938"/>
      <c r="O43" s="938"/>
      <c r="P43" s="938"/>
      <c r="Q43" s="938"/>
      <c r="R43" s="938"/>
      <c r="S43" s="938"/>
      <c r="T43" s="938"/>
      <c r="U43" s="938"/>
      <c r="V43" s="938"/>
      <c r="W43" s="938"/>
      <c r="X43" s="938"/>
      <c r="Y43" s="938"/>
      <c r="Z43" s="938"/>
      <c r="AA43" s="938"/>
      <c r="AB43" s="938"/>
      <c r="AC43" s="938"/>
      <c r="AD43" s="938"/>
      <c r="AE43" s="938"/>
      <c r="AF43" s="938"/>
      <c r="AG43" s="938"/>
      <c r="AH43" s="938"/>
      <c r="AI43" s="938"/>
      <c r="AJ43" s="938"/>
      <c r="AK43" s="938"/>
    </row>
    <row r="44" spans="1:38">
      <c r="A44" s="37"/>
      <c r="C44" s="3"/>
      <c r="D44" s="37"/>
      <c r="E44" s="37"/>
      <c r="F44" s="938"/>
      <c r="G44" s="938"/>
      <c r="H44" s="938"/>
      <c r="I44" s="938"/>
      <c r="J44" s="938"/>
      <c r="K44" s="938"/>
      <c r="L44" s="938"/>
      <c r="M44" s="938"/>
      <c r="N44" s="938"/>
      <c r="O44" s="938"/>
      <c r="P44" s="938"/>
      <c r="Q44" s="938"/>
      <c r="R44" s="938"/>
      <c r="S44" s="938"/>
      <c r="T44" s="938"/>
      <c r="U44" s="938"/>
      <c r="V44" s="938"/>
      <c r="W44" s="938"/>
      <c r="X44" s="938"/>
      <c r="Y44" s="938"/>
      <c r="Z44" s="938"/>
      <c r="AA44" s="938"/>
      <c r="AB44" s="938"/>
      <c r="AC44" s="938"/>
      <c r="AD44" s="938"/>
      <c r="AE44" s="938"/>
      <c r="AF44" s="938"/>
      <c r="AG44" s="938"/>
      <c r="AH44" s="938"/>
      <c r="AI44" s="938"/>
      <c r="AJ44" s="938"/>
      <c r="AK44" s="938"/>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2"/>
      <c r="K46" s="862"/>
      <c r="L46" s="862"/>
      <c r="M46" s="862"/>
      <c r="N46" s="862"/>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40" t="s">
        <v>31</v>
      </c>
      <c r="H48" s="940"/>
      <c r="I48" s="940"/>
      <c r="J48" s="940"/>
      <c r="K48" s="940"/>
      <c r="L48" s="940"/>
      <c r="M48" s="940"/>
      <c r="N48" s="940"/>
      <c r="O48" s="940"/>
      <c r="P48" s="940"/>
      <c r="Q48" s="940"/>
      <c r="R48" s="940"/>
      <c r="S48" s="940"/>
      <c r="T48" s="940"/>
      <c r="U48" s="940"/>
      <c r="V48" s="940"/>
      <c r="W48" s="940"/>
      <c r="X48" s="940"/>
      <c r="Y48" s="940"/>
      <c r="Z48" s="940"/>
      <c r="AA48" s="940"/>
      <c r="AB48" s="940"/>
      <c r="AC48" s="940"/>
      <c r="AD48" s="940"/>
      <c r="AE48" s="940"/>
      <c r="AF48" s="940"/>
      <c r="AG48" s="940"/>
      <c r="AH48" s="940"/>
      <c r="AI48" s="940"/>
      <c r="AJ48" s="940"/>
      <c r="AK48" s="940"/>
    </row>
    <row r="49" spans="1:38">
      <c r="A49" s="37"/>
      <c r="C49" s="3"/>
      <c r="D49" s="3"/>
      <c r="E49" s="37"/>
      <c r="F49" s="12"/>
      <c r="G49" s="940"/>
      <c r="H49" s="940"/>
      <c r="I49" s="940"/>
      <c r="J49" s="940"/>
      <c r="K49" s="940"/>
      <c r="L49" s="940"/>
      <c r="M49" s="940"/>
      <c r="N49" s="940"/>
      <c r="O49" s="940"/>
      <c r="P49" s="940"/>
      <c r="Q49" s="940"/>
      <c r="R49" s="940"/>
      <c r="S49" s="940"/>
      <c r="T49" s="940"/>
      <c r="U49" s="940"/>
      <c r="V49" s="940"/>
      <c r="W49" s="940"/>
      <c r="X49" s="940"/>
      <c r="Y49" s="940"/>
      <c r="Z49" s="940"/>
      <c r="AA49" s="940"/>
      <c r="AB49" s="940"/>
      <c r="AC49" s="940"/>
      <c r="AD49" s="940"/>
      <c r="AE49" s="940"/>
      <c r="AF49" s="940"/>
      <c r="AG49" s="940"/>
      <c r="AH49" s="940"/>
      <c r="AI49" s="940"/>
      <c r="AJ49" s="940"/>
      <c r="AK49" s="940"/>
    </row>
    <row r="50" spans="1:38">
      <c r="A50" s="37"/>
      <c r="C50" s="3"/>
      <c r="D50" s="3"/>
      <c r="E50" s="37"/>
      <c r="F50" s="12"/>
      <c r="G50" s="940"/>
      <c r="H50" s="940"/>
      <c r="I50" s="940"/>
      <c r="J50" s="940"/>
      <c r="K50" s="940"/>
      <c r="L50" s="940"/>
      <c r="M50" s="940"/>
      <c r="N50" s="940"/>
      <c r="O50" s="940"/>
      <c r="P50" s="940"/>
      <c r="Q50" s="940"/>
      <c r="R50" s="940"/>
      <c r="S50" s="940"/>
      <c r="T50" s="940"/>
      <c r="U50" s="940"/>
      <c r="V50" s="940"/>
      <c r="W50" s="940"/>
      <c r="X50" s="940"/>
      <c r="Y50" s="940"/>
      <c r="Z50" s="940"/>
      <c r="AA50" s="940"/>
      <c r="AB50" s="940"/>
      <c r="AC50" s="940"/>
      <c r="AD50" s="940"/>
      <c r="AE50" s="940"/>
      <c r="AF50" s="940"/>
      <c r="AG50" s="940"/>
      <c r="AH50" s="940"/>
      <c r="AI50" s="940"/>
      <c r="AJ50" s="940"/>
      <c r="AK50" s="940"/>
    </row>
    <row r="51" spans="1:38">
      <c r="A51" s="37"/>
      <c r="B51" s="3"/>
      <c r="C51" s="3"/>
      <c r="D51" s="3"/>
      <c r="E51" s="37"/>
      <c r="F51" s="12" t="s">
        <v>23</v>
      </c>
      <c r="G51" s="940" t="s">
        <v>32</v>
      </c>
      <c r="H51" s="940"/>
      <c r="I51" s="940"/>
      <c r="J51" s="940"/>
      <c r="K51" s="940"/>
      <c r="L51" s="940"/>
      <c r="M51" s="940"/>
      <c r="N51" s="940"/>
      <c r="O51" s="940"/>
      <c r="P51" s="940"/>
      <c r="Q51" s="940"/>
      <c r="R51" s="940"/>
      <c r="S51" s="940"/>
      <c r="T51" s="940"/>
      <c r="U51" s="940"/>
      <c r="V51" s="940"/>
      <c r="W51" s="940"/>
      <c r="X51" s="940"/>
      <c r="Y51" s="940"/>
      <c r="Z51" s="940"/>
      <c r="AA51" s="940"/>
      <c r="AB51" s="940"/>
      <c r="AC51" s="940"/>
      <c r="AD51" s="940"/>
      <c r="AE51" s="940"/>
      <c r="AF51" s="940"/>
      <c r="AG51" s="940"/>
      <c r="AH51" s="940"/>
      <c r="AI51" s="940"/>
      <c r="AJ51" s="940"/>
      <c r="AK51" s="940"/>
    </row>
    <row r="52" spans="1:38" s="5" customFormat="1">
      <c r="A52" s="37"/>
      <c r="B52"/>
      <c r="C52" s="3"/>
      <c r="D52" s="3"/>
      <c r="E52" s="37"/>
      <c r="F52" s="12"/>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c r="AI52" s="940"/>
      <c r="AJ52" s="940"/>
      <c r="AK52" s="940"/>
      <c r="AL52"/>
    </row>
    <row r="53" spans="1:38">
      <c r="A53" s="37"/>
      <c r="C53" s="3"/>
      <c r="D53" s="3"/>
      <c r="E53" s="37"/>
      <c r="F53" s="12"/>
      <c r="G53" s="940"/>
      <c r="H53" s="940"/>
      <c r="I53" s="940"/>
      <c r="J53" s="940"/>
      <c r="K53" s="940"/>
      <c r="L53" s="940"/>
      <c r="M53" s="940"/>
      <c r="N53" s="940"/>
      <c r="O53" s="940"/>
      <c r="P53" s="940"/>
      <c r="Q53" s="940"/>
      <c r="R53" s="940"/>
      <c r="S53" s="940"/>
      <c r="T53" s="940"/>
      <c r="U53" s="940"/>
      <c r="V53" s="940"/>
      <c r="W53" s="940"/>
      <c r="X53" s="940"/>
      <c r="Y53" s="940"/>
      <c r="Z53" s="940"/>
      <c r="AA53" s="940"/>
      <c r="AB53" s="940"/>
      <c r="AC53" s="940"/>
      <c r="AD53" s="940"/>
      <c r="AE53" s="940"/>
      <c r="AF53" s="940"/>
      <c r="AG53" s="940"/>
      <c r="AH53" s="940"/>
      <c r="AI53" s="940"/>
      <c r="AJ53" s="940"/>
      <c r="AK53" s="940"/>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8" t="s">
        <v>36</v>
      </c>
      <c r="H58" s="938"/>
      <c r="I58" s="938"/>
      <c r="J58" s="938"/>
      <c r="K58" s="938"/>
      <c r="L58" s="938"/>
      <c r="M58" s="938"/>
      <c r="N58" s="938"/>
      <c r="O58" s="938"/>
      <c r="P58" s="938"/>
      <c r="Q58" s="938"/>
      <c r="R58" s="938"/>
      <c r="S58" s="938"/>
      <c r="T58" s="938"/>
      <c r="U58" s="938"/>
      <c r="V58" s="938"/>
      <c r="W58" s="938"/>
      <c r="X58" s="938"/>
      <c r="Y58" s="938"/>
      <c r="Z58" s="938"/>
      <c r="AA58" s="938"/>
      <c r="AB58" s="938"/>
      <c r="AC58" s="938"/>
      <c r="AD58" s="938"/>
      <c r="AE58" s="938"/>
      <c r="AF58" s="938"/>
      <c r="AG58" s="938"/>
      <c r="AH58" s="938"/>
      <c r="AI58" s="938"/>
      <c r="AJ58" s="938"/>
      <c r="AK58" s="938"/>
    </row>
    <row r="59" spans="1:38">
      <c r="A59" s="37"/>
      <c r="C59" s="3"/>
      <c r="D59" s="37"/>
      <c r="E59" s="37"/>
      <c r="G59" s="938"/>
      <c r="H59" s="938"/>
      <c r="I59" s="938"/>
      <c r="J59" s="938"/>
      <c r="K59" s="938"/>
      <c r="L59" s="938"/>
      <c r="M59" s="938"/>
      <c r="N59" s="938"/>
      <c r="O59" s="938"/>
      <c r="P59" s="938"/>
      <c r="Q59" s="938"/>
      <c r="R59" s="938"/>
      <c r="S59" s="938"/>
      <c r="T59" s="938"/>
      <c r="U59" s="938"/>
      <c r="V59" s="938"/>
      <c r="W59" s="938"/>
      <c r="X59" s="938"/>
      <c r="Y59" s="938"/>
      <c r="Z59" s="938"/>
      <c r="AA59" s="938"/>
      <c r="AB59" s="938"/>
      <c r="AC59" s="938"/>
      <c r="AD59" s="938"/>
      <c r="AE59" s="938"/>
      <c r="AF59" s="938"/>
      <c r="AG59" s="938"/>
      <c r="AH59" s="938"/>
      <c r="AI59" s="938"/>
      <c r="AJ59" s="938"/>
      <c r="AK59" s="938"/>
    </row>
    <row r="60" spans="1:38">
      <c r="A60" s="37"/>
      <c r="C60" s="3"/>
      <c r="D60" s="37"/>
      <c r="E60" s="37"/>
      <c r="G60" s="938"/>
      <c r="H60" s="938"/>
      <c r="I60" s="938"/>
      <c r="J60" s="938"/>
      <c r="K60" s="938"/>
      <c r="L60" s="938"/>
      <c r="M60" s="938"/>
      <c r="N60" s="938"/>
      <c r="O60" s="938"/>
      <c r="P60" s="938"/>
      <c r="Q60" s="938"/>
      <c r="R60" s="938"/>
      <c r="S60" s="938"/>
      <c r="T60" s="938"/>
      <c r="U60" s="938"/>
      <c r="V60" s="938"/>
      <c r="W60" s="938"/>
      <c r="X60" s="938"/>
      <c r="Y60" s="938"/>
      <c r="Z60" s="938"/>
      <c r="AA60" s="938"/>
      <c r="AB60" s="938"/>
      <c r="AC60" s="938"/>
      <c r="AD60" s="938"/>
      <c r="AE60" s="938"/>
      <c r="AF60" s="938"/>
      <c r="AG60" s="938"/>
      <c r="AH60" s="938"/>
      <c r="AI60" s="938"/>
      <c r="AJ60" s="938"/>
      <c r="AK60" s="938"/>
    </row>
    <row r="61" spans="1:38">
      <c r="A61" s="37"/>
      <c r="C61" s="3"/>
      <c r="D61" s="37"/>
      <c r="E61" s="37"/>
      <c r="F61" t="s">
        <v>23</v>
      </c>
      <c r="G61" s="938" t="s">
        <v>37</v>
      </c>
      <c r="H61" s="938"/>
      <c r="I61" s="938"/>
      <c r="J61" s="938"/>
      <c r="K61" s="938"/>
      <c r="L61" s="938"/>
      <c r="M61" s="938"/>
      <c r="N61" s="938"/>
      <c r="O61" s="938"/>
      <c r="P61" s="938"/>
      <c r="Q61" s="938"/>
      <c r="R61" s="938"/>
      <c r="S61" s="938"/>
      <c r="T61" s="938"/>
      <c r="U61" s="938"/>
      <c r="V61" s="938"/>
      <c r="W61" s="938"/>
      <c r="X61" s="938"/>
      <c r="Y61" s="938"/>
      <c r="Z61" s="938"/>
      <c r="AA61" s="938"/>
      <c r="AB61" s="938"/>
      <c r="AC61" s="938"/>
      <c r="AD61" s="938"/>
      <c r="AE61" s="938"/>
      <c r="AF61" s="938"/>
      <c r="AG61" s="938"/>
      <c r="AH61" s="938"/>
      <c r="AI61" s="938"/>
      <c r="AJ61" s="938"/>
      <c r="AK61" s="938"/>
    </row>
    <row r="62" spans="1:38">
      <c r="A62" s="37"/>
      <c r="C62" s="3"/>
      <c r="D62" s="37"/>
      <c r="E62" s="37"/>
      <c r="G62" s="938"/>
      <c r="H62" s="938"/>
      <c r="I62" s="938"/>
      <c r="J62" s="938"/>
      <c r="K62" s="938"/>
      <c r="L62" s="938"/>
      <c r="M62" s="938"/>
      <c r="N62" s="938"/>
      <c r="O62" s="938"/>
      <c r="P62" s="938"/>
      <c r="Q62" s="938"/>
      <c r="R62" s="938"/>
      <c r="S62" s="938"/>
      <c r="T62" s="938"/>
      <c r="U62" s="938"/>
      <c r="V62" s="938"/>
      <c r="W62" s="938"/>
      <c r="X62" s="938"/>
      <c r="Y62" s="938"/>
      <c r="Z62" s="938"/>
      <c r="AA62" s="938"/>
      <c r="AB62" s="938"/>
      <c r="AC62" s="938"/>
      <c r="AD62" s="938"/>
      <c r="AE62" s="938"/>
      <c r="AF62" s="938"/>
      <c r="AG62" s="938"/>
      <c r="AH62" s="938"/>
      <c r="AI62" s="938"/>
      <c r="AJ62" s="938"/>
      <c r="AK62" s="938"/>
    </row>
    <row r="63" spans="1:38">
      <c r="A63" s="37"/>
      <c r="C63" s="3"/>
      <c r="D63" s="37"/>
      <c r="E63" s="37"/>
      <c r="F63" s="31"/>
      <c r="G63" s="938"/>
      <c r="H63" s="938"/>
      <c r="I63" s="938"/>
      <c r="J63" s="938"/>
      <c r="K63" s="938"/>
      <c r="L63" s="938"/>
      <c r="M63" s="938"/>
      <c r="N63" s="938"/>
      <c r="O63" s="938"/>
      <c r="P63" s="938"/>
      <c r="Q63" s="938"/>
      <c r="R63" s="938"/>
      <c r="S63" s="938"/>
      <c r="T63" s="938"/>
      <c r="U63" s="938"/>
      <c r="V63" s="938"/>
      <c r="W63" s="938"/>
      <c r="X63" s="938"/>
      <c r="Y63" s="938"/>
      <c r="Z63" s="938"/>
      <c r="AA63" s="938"/>
      <c r="AB63" s="938"/>
      <c r="AC63" s="938"/>
      <c r="AD63" s="938"/>
      <c r="AE63" s="938"/>
      <c r="AF63" s="938"/>
      <c r="AG63" s="938"/>
      <c r="AH63" s="938"/>
      <c r="AI63" s="938"/>
      <c r="AJ63" s="938"/>
      <c r="AK63" s="938"/>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8" t="s">
        <v>39</v>
      </c>
      <c r="H65" s="938"/>
      <c r="I65" s="938"/>
      <c r="J65" s="938"/>
      <c r="K65" s="938"/>
      <c r="L65" s="938"/>
      <c r="M65" s="938"/>
      <c r="N65" s="938"/>
      <c r="O65" s="938"/>
      <c r="P65" s="938"/>
      <c r="Q65" s="938"/>
      <c r="R65" s="938"/>
      <c r="S65" s="938"/>
      <c r="T65" s="938"/>
      <c r="U65" s="938"/>
      <c r="V65" s="938"/>
      <c r="W65" s="938"/>
      <c r="X65" s="938"/>
      <c r="Y65" s="938"/>
      <c r="Z65" s="938"/>
      <c r="AA65" s="938"/>
      <c r="AB65" s="938"/>
      <c r="AC65" s="938"/>
      <c r="AD65" s="938"/>
      <c r="AE65" s="938"/>
      <c r="AF65" s="938"/>
      <c r="AG65" s="938"/>
      <c r="AH65" s="938"/>
      <c r="AI65" s="938"/>
      <c r="AJ65" s="938"/>
      <c r="AK65" s="938"/>
    </row>
    <row r="66" spans="1:37">
      <c r="A66" s="37"/>
      <c r="C66" s="3"/>
      <c r="D66" s="37"/>
      <c r="E66" s="37"/>
      <c r="F66" s="12"/>
      <c r="G66" s="938"/>
      <c r="H66" s="938"/>
      <c r="I66" s="938"/>
      <c r="J66" s="938"/>
      <c r="K66" s="938"/>
      <c r="L66" s="938"/>
      <c r="M66" s="938"/>
      <c r="N66" s="938"/>
      <c r="O66" s="938"/>
      <c r="P66" s="938"/>
      <c r="Q66" s="938"/>
      <c r="R66" s="938"/>
      <c r="S66" s="938"/>
      <c r="T66" s="938"/>
      <c r="U66" s="938"/>
      <c r="V66" s="938"/>
      <c r="W66" s="938"/>
      <c r="X66" s="938"/>
      <c r="Y66" s="938"/>
      <c r="Z66" s="938"/>
      <c r="AA66" s="938"/>
      <c r="AB66" s="938"/>
      <c r="AC66" s="938"/>
      <c r="AD66" s="938"/>
      <c r="AE66" s="938"/>
      <c r="AF66" s="938"/>
      <c r="AG66" s="938"/>
      <c r="AH66" s="938"/>
      <c r="AI66" s="938"/>
      <c r="AJ66" s="938"/>
      <c r="AK66" s="938"/>
    </row>
    <row r="67" spans="1:37">
      <c r="A67" s="37"/>
      <c r="C67" s="3"/>
      <c r="D67" s="37"/>
      <c r="E67" s="37"/>
      <c r="F67" s="12" t="s">
        <v>23</v>
      </c>
      <c r="G67" s="938" t="s">
        <v>40</v>
      </c>
      <c r="H67" s="938"/>
      <c r="I67" s="938"/>
      <c r="J67" s="938"/>
      <c r="K67" s="938"/>
      <c r="L67" s="938"/>
      <c r="M67" s="938"/>
      <c r="N67" s="938"/>
      <c r="O67" s="938"/>
      <c r="P67" s="938"/>
      <c r="Q67" s="938"/>
      <c r="R67" s="938"/>
      <c r="S67" s="938"/>
      <c r="T67" s="938"/>
      <c r="U67" s="938"/>
      <c r="V67" s="938"/>
      <c r="W67" s="938"/>
      <c r="X67" s="938"/>
      <c r="Y67" s="938"/>
      <c r="Z67" s="938"/>
      <c r="AA67" s="938"/>
      <c r="AB67" s="938"/>
      <c r="AC67" s="938"/>
      <c r="AD67" s="938"/>
      <c r="AE67" s="938"/>
      <c r="AF67" s="938"/>
      <c r="AG67" s="938"/>
      <c r="AH67" s="938"/>
      <c r="AI67" s="938"/>
      <c r="AJ67" s="938"/>
      <c r="AK67" s="938"/>
    </row>
    <row r="68" spans="1:37">
      <c r="A68" s="37"/>
      <c r="C68" s="3"/>
      <c r="D68" s="37"/>
      <c r="E68" s="37"/>
      <c r="F68" s="12"/>
      <c r="G68" s="938"/>
      <c r="H68" s="938"/>
      <c r="I68" s="938"/>
      <c r="J68" s="938"/>
      <c r="K68" s="938"/>
      <c r="L68" s="938"/>
      <c r="M68" s="938"/>
      <c r="N68" s="938"/>
      <c r="O68" s="938"/>
      <c r="P68" s="938"/>
      <c r="Q68" s="938"/>
      <c r="R68" s="938"/>
      <c r="S68" s="938"/>
      <c r="T68" s="938"/>
      <c r="U68" s="938"/>
      <c r="V68" s="938"/>
      <c r="W68" s="938"/>
      <c r="X68" s="938"/>
      <c r="Y68" s="938"/>
      <c r="Z68" s="938"/>
      <c r="AA68" s="938"/>
      <c r="AB68" s="938"/>
      <c r="AC68" s="938"/>
      <c r="AD68" s="938"/>
      <c r="AE68" s="938"/>
      <c r="AF68" s="938"/>
      <c r="AG68" s="938"/>
      <c r="AH68" s="938"/>
      <c r="AI68" s="938"/>
      <c r="AJ68" s="938"/>
      <c r="AK68" s="938"/>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8" t="s">
        <v>50</v>
      </c>
      <c r="H75" s="938"/>
      <c r="I75" s="938"/>
      <c r="J75" s="938"/>
      <c r="K75" s="938"/>
      <c r="L75" s="938"/>
      <c r="M75" s="938"/>
      <c r="N75" s="938"/>
      <c r="O75" s="938"/>
      <c r="P75" s="938"/>
      <c r="Q75" s="938"/>
      <c r="R75" s="938"/>
      <c r="S75" s="938"/>
      <c r="T75" s="938"/>
      <c r="U75" s="938"/>
      <c r="V75" s="938"/>
      <c r="W75" s="938"/>
      <c r="X75" s="938"/>
      <c r="Y75" s="938"/>
      <c r="Z75" s="938"/>
      <c r="AA75" s="938"/>
      <c r="AB75" s="938"/>
      <c r="AC75" s="938"/>
      <c r="AD75" s="938"/>
      <c r="AE75" s="938"/>
      <c r="AF75" s="938"/>
      <c r="AG75" s="938"/>
      <c r="AH75" s="938"/>
      <c r="AI75" s="938"/>
      <c r="AJ75" s="938"/>
      <c r="AK75" s="938"/>
    </row>
    <row r="76" spans="1:37">
      <c r="A76" s="37"/>
      <c r="C76" s="3"/>
      <c r="D76" s="37"/>
      <c r="E76" s="37"/>
      <c r="F76" s="37"/>
      <c r="G76" s="938"/>
      <c r="H76" s="938"/>
      <c r="I76" s="938"/>
      <c r="J76" s="938"/>
      <c r="K76" s="938"/>
      <c r="L76" s="938"/>
      <c r="M76" s="938"/>
      <c r="N76" s="938"/>
      <c r="O76" s="938"/>
      <c r="P76" s="938"/>
      <c r="Q76" s="938"/>
      <c r="R76" s="938"/>
      <c r="S76" s="938"/>
      <c r="T76" s="938"/>
      <c r="U76" s="938"/>
      <c r="V76" s="938"/>
      <c r="W76" s="938"/>
      <c r="X76" s="938"/>
      <c r="Y76" s="938"/>
      <c r="Z76" s="938"/>
      <c r="AA76" s="938"/>
      <c r="AB76" s="938"/>
      <c r="AC76" s="938"/>
      <c r="AD76" s="938"/>
      <c r="AE76" s="938"/>
      <c r="AF76" s="938"/>
      <c r="AG76" s="938"/>
      <c r="AH76" s="938"/>
      <c r="AI76" s="938"/>
      <c r="AJ76" s="938"/>
      <c r="AK76" s="938"/>
    </row>
    <row r="77" spans="1:37">
      <c r="A77" s="37"/>
      <c r="C77" s="3"/>
      <c r="D77" s="37"/>
      <c r="E77" s="37"/>
      <c r="F77" s="37"/>
      <c r="G77" s="938"/>
      <c r="H77" s="938"/>
      <c r="I77" s="938"/>
      <c r="J77" s="938"/>
      <c r="K77" s="938"/>
      <c r="L77" s="938"/>
      <c r="M77" s="938"/>
      <c r="N77" s="938"/>
      <c r="O77" s="938"/>
      <c r="P77" s="938"/>
      <c r="Q77" s="938"/>
      <c r="R77" s="938"/>
      <c r="S77" s="938"/>
      <c r="T77" s="938"/>
      <c r="U77" s="938"/>
      <c r="V77" s="938"/>
      <c r="W77" s="938"/>
      <c r="X77" s="938"/>
      <c r="Y77" s="938"/>
      <c r="Z77" s="938"/>
      <c r="AA77" s="938"/>
      <c r="AB77" s="938"/>
      <c r="AC77" s="938"/>
      <c r="AD77" s="938"/>
      <c r="AE77" s="938"/>
      <c r="AF77" s="938"/>
      <c r="AG77" s="938"/>
      <c r="AH77" s="938"/>
      <c r="AI77" s="938"/>
      <c r="AJ77" s="938"/>
      <c r="AK77" s="938"/>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8" t="s">
        <v>53</v>
      </c>
      <c r="H79" s="938"/>
      <c r="I79" s="938"/>
      <c r="J79" s="938"/>
      <c r="K79" s="938"/>
      <c r="L79" s="938"/>
      <c r="M79" s="938"/>
      <c r="N79" s="938"/>
      <c r="O79" s="938"/>
      <c r="P79" s="938"/>
      <c r="Q79" s="938"/>
      <c r="R79" s="938"/>
      <c r="S79" s="938"/>
      <c r="T79" s="938"/>
      <c r="U79" s="938"/>
      <c r="V79" s="938"/>
      <c r="W79" s="938"/>
      <c r="X79" s="938"/>
      <c r="Y79" s="938"/>
      <c r="Z79" s="938"/>
      <c r="AA79" s="938"/>
      <c r="AB79" s="938"/>
      <c r="AC79" s="938"/>
      <c r="AD79" s="938"/>
      <c r="AE79" s="938"/>
      <c r="AF79" s="938"/>
      <c r="AG79" s="938"/>
      <c r="AH79" s="938"/>
      <c r="AI79" s="938"/>
      <c r="AJ79" s="938"/>
      <c r="AK79" s="938"/>
    </row>
    <row r="80" spans="1:37">
      <c r="A80" s="37"/>
      <c r="C80" s="3"/>
      <c r="D80" s="37"/>
      <c r="E80" s="37"/>
      <c r="F80" s="37"/>
      <c r="G80" s="938"/>
      <c r="H80" s="938"/>
      <c r="I80" s="938"/>
      <c r="J80" s="938"/>
      <c r="K80" s="938"/>
      <c r="L80" s="938"/>
      <c r="M80" s="938"/>
      <c r="N80" s="938"/>
      <c r="O80" s="938"/>
      <c r="P80" s="938"/>
      <c r="Q80" s="938"/>
      <c r="R80" s="938"/>
      <c r="S80" s="938"/>
      <c r="T80" s="938"/>
      <c r="U80" s="938"/>
      <c r="V80" s="938"/>
      <c r="W80" s="938"/>
      <c r="X80" s="938"/>
      <c r="Y80" s="938"/>
      <c r="Z80" s="938"/>
      <c r="AA80" s="938"/>
      <c r="AB80" s="938"/>
      <c r="AC80" s="938"/>
      <c r="AD80" s="938"/>
      <c r="AE80" s="938"/>
      <c r="AF80" s="938"/>
      <c r="AG80" s="938"/>
      <c r="AH80" s="938"/>
      <c r="AI80" s="938"/>
      <c r="AJ80" s="938"/>
      <c r="AK80" s="938"/>
    </row>
    <row r="81" spans="1:38">
      <c r="A81" s="37"/>
      <c r="C81" s="3"/>
      <c r="D81" s="37"/>
      <c r="E81" s="37"/>
      <c r="G81" s="938"/>
      <c r="H81" s="938"/>
      <c r="I81" s="938"/>
      <c r="J81" s="938"/>
      <c r="K81" s="938"/>
      <c r="L81" s="938"/>
      <c r="M81" s="938"/>
      <c r="N81" s="938"/>
      <c r="O81" s="938"/>
      <c r="P81" s="938"/>
      <c r="Q81" s="938"/>
      <c r="R81" s="938"/>
      <c r="S81" s="938"/>
      <c r="T81" s="938"/>
      <c r="U81" s="938"/>
      <c r="V81" s="938"/>
      <c r="W81" s="938"/>
      <c r="X81" s="938"/>
      <c r="Y81" s="938"/>
      <c r="Z81" s="938"/>
      <c r="AA81" s="938"/>
      <c r="AB81" s="938"/>
      <c r="AC81" s="938"/>
      <c r="AD81" s="938"/>
      <c r="AE81" s="938"/>
      <c r="AF81" s="938"/>
      <c r="AG81" s="938"/>
      <c r="AH81" s="938"/>
      <c r="AI81" s="938"/>
      <c r="AJ81" s="938"/>
      <c r="AK81" s="938"/>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8" t="s">
        <v>56</v>
      </c>
      <c r="H83" s="938"/>
      <c r="I83" s="938"/>
      <c r="J83" s="938"/>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38"/>
      <c r="AK83" s="938"/>
    </row>
    <row r="84" spans="1:38">
      <c r="A84" s="37"/>
      <c r="C84" s="3"/>
      <c r="D84" s="37"/>
      <c r="E84" s="37"/>
      <c r="G84" s="938"/>
      <c r="H84" s="938"/>
      <c r="I84" s="938"/>
      <c r="J84" s="938"/>
      <c r="K84" s="938"/>
      <c r="L84" s="938"/>
      <c r="M84" s="938"/>
      <c r="N84" s="938"/>
      <c r="O84" s="938"/>
      <c r="P84" s="938"/>
      <c r="Q84" s="938"/>
      <c r="R84" s="938"/>
      <c r="S84" s="938"/>
      <c r="T84" s="938"/>
      <c r="U84" s="938"/>
      <c r="V84" s="938"/>
      <c r="W84" s="938"/>
      <c r="X84" s="938"/>
      <c r="Y84" s="938"/>
      <c r="Z84" s="938"/>
      <c r="AA84" s="938"/>
      <c r="AB84" s="938"/>
      <c r="AC84" s="938"/>
      <c r="AD84" s="938"/>
      <c r="AE84" s="938"/>
      <c r="AF84" s="938"/>
      <c r="AG84" s="938"/>
      <c r="AH84" s="938"/>
      <c r="AI84" s="938"/>
      <c r="AJ84" s="938"/>
      <c r="AK84" s="938"/>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8" t="s">
        <v>59</v>
      </c>
      <c r="H86" s="938"/>
      <c r="I86" s="938"/>
      <c r="J86" s="938"/>
      <c r="K86" s="938"/>
      <c r="L86" s="938"/>
      <c r="M86" s="938"/>
      <c r="N86" s="938"/>
      <c r="O86" s="938"/>
      <c r="P86" s="938"/>
      <c r="Q86" s="938"/>
      <c r="R86" s="938"/>
      <c r="S86" s="938"/>
      <c r="T86" s="938"/>
      <c r="U86" s="938"/>
      <c r="V86" s="938"/>
      <c r="W86" s="938"/>
      <c r="X86" s="938"/>
      <c r="Y86" s="938"/>
      <c r="Z86" s="938"/>
      <c r="AA86" s="938"/>
      <c r="AB86" s="938"/>
      <c r="AC86" s="938"/>
      <c r="AD86" s="938"/>
      <c r="AE86" s="938"/>
      <c r="AF86" s="938"/>
      <c r="AG86" s="938"/>
      <c r="AH86" s="938"/>
      <c r="AI86" s="938"/>
      <c r="AJ86" s="938"/>
      <c r="AK86" s="938"/>
    </row>
    <row r="87" spans="1:38">
      <c r="A87" s="37"/>
      <c r="C87" s="3"/>
      <c r="D87" s="37"/>
      <c r="E87" s="37"/>
      <c r="G87" s="938"/>
      <c r="H87" s="938"/>
      <c r="I87" s="938"/>
      <c r="J87" s="938"/>
      <c r="K87" s="938"/>
      <c r="L87" s="938"/>
      <c r="M87" s="938"/>
      <c r="N87" s="938"/>
      <c r="O87" s="938"/>
      <c r="P87" s="938"/>
      <c r="Q87" s="938"/>
      <c r="R87" s="938"/>
      <c r="S87" s="938"/>
      <c r="T87" s="938"/>
      <c r="U87" s="938"/>
      <c r="V87" s="938"/>
      <c r="W87" s="938"/>
      <c r="X87" s="938"/>
      <c r="Y87" s="938"/>
      <c r="Z87" s="938"/>
      <c r="AA87" s="938"/>
      <c r="AB87" s="938"/>
      <c r="AC87" s="938"/>
      <c r="AD87" s="938"/>
      <c r="AE87" s="938"/>
      <c r="AF87" s="938"/>
      <c r="AG87" s="938"/>
      <c r="AH87" s="938"/>
      <c r="AI87" s="938"/>
      <c r="AJ87" s="938"/>
      <c r="AK87" s="938"/>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8" t="s">
        <v>62</v>
      </c>
      <c r="H89" s="938"/>
      <c r="I89" s="938"/>
      <c r="J89" s="938"/>
      <c r="K89" s="938"/>
      <c r="L89" s="938"/>
      <c r="M89" s="938"/>
      <c r="N89" s="938"/>
      <c r="O89" s="938"/>
      <c r="P89" s="938"/>
      <c r="Q89" s="938"/>
      <c r="R89" s="938"/>
      <c r="S89" s="938"/>
      <c r="T89" s="938"/>
      <c r="U89" s="938"/>
      <c r="V89" s="938"/>
      <c r="W89" s="938"/>
      <c r="X89" s="938"/>
      <c r="Y89" s="938"/>
      <c r="Z89" s="938"/>
      <c r="AA89" s="938"/>
      <c r="AB89" s="938"/>
      <c r="AC89" s="938"/>
      <c r="AD89" s="938"/>
      <c r="AE89" s="938"/>
      <c r="AF89" s="938"/>
      <c r="AG89" s="938"/>
      <c r="AH89" s="938"/>
      <c r="AI89" s="938"/>
      <c r="AJ89" s="938"/>
      <c r="AK89" s="938"/>
    </row>
    <row r="90" spans="1:38">
      <c r="A90" s="37"/>
      <c r="C90" s="3"/>
      <c r="D90" s="37"/>
      <c r="E90" s="37"/>
      <c r="F90" s="37"/>
      <c r="G90" s="938"/>
      <c r="H90" s="938"/>
      <c r="I90" s="938"/>
      <c r="J90" s="938"/>
      <c r="K90" s="938"/>
      <c r="L90" s="938"/>
      <c r="M90" s="938"/>
      <c r="N90" s="938"/>
      <c r="O90" s="938"/>
      <c r="P90" s="938"/>
      <c r="Q90" s="938"/>
      <c r="R90" s="938"/>
      <c r="S90" s="938"/>
      <c r="T90" s="938"/>
      <c r="U90" s="938"/>
      <c r="V90" s="938"/>
      <c r="W90" s="938"/>
      <c r="X90" s="938"/>
      <c r="Y90" s="938"/>
      <c r="Z90" s="938"/>
      <c r="AA90" s="938"/>
      <c r="AB90" s="938"/>
      <c r="AC90" s="938"/>
      <c r="AD90" s="938"/>
      <c r="AE90" s="938"/>
      <c r="AF90" s="938"/>
      <c r="AG90" s="938"/>
      <c r="AH90" s="938"/>
      <c r="AI90" s="938"/>
      <c r="AJ90" s="938"/>
      <c r="AK90" s="938"/>
    </row>
    <row r="91" spans="1:38">
      <c r="A91" s="37"/>
      <c r="C91" s="3"/>
      <c r="D91" s="37"/>
      <c r="E91" s="37"/>
      <c r="F91" s="37"/>
      <c r="G91" s="938"/>
      <c r="H91" s="938"/>
      <c r="I91" s="938"/>
      <c r="J91" s="938"/>
      <c r="K91" s="938"/>
      <c r="L91" s="938"/>
      <c r="M91" s="938"/>
      <c r="N91" s="938"/>
      <c r="O91" s="938"/>
      <c r="P91" s="938"/>
      <c r="Q91" s="938"/>
      <c r="R91" s="938"/>
      <c r="S91" s="938"/>
      <c r="T91" s="938"/>
      <c r="U91" s="938"/>
      <c r="V91" s="938"/>
      <c r="W91" s="938"/>
      <c r="X91" s="938"/>
      <c r="Y91" s="938"/>
      <c r="Z91" s="938"/>
      <c r="AA91" s="938"/>
      <c r="AB91" s="938"/>
      <c r="AC91" s="938"/>
      <c r="AD91" s="938"/>
      <c r="AE91" s="938"/>
      <c r="AF91" s="938"/>
      <c r="AG91" s="938"/>
      <c r="AH91" s="938"/>
      <c r="AI91" s="938"/>
      <c r="AJ91" s="938"/>
      <c r="AK91" s="938"/>
    </row>
    <row r="92" spans="1:38">
      <c r="A92" s="37"/>
      <c r="C92" s="3"/>
      <c r="D92" s="37"/>
      <c r="E92" s="37"/>
      <c r="F92" s="37"/>
      <c r="G92" s="938"/>
      <c r="H92" s="938"/>
      <c r="I92" s="938"/>
      <c r="J92" s="938"/>
      <c r="K92" s="938"/>
      <c r="L92" s="938"/>
      <c r="M92" s="938"/>
      <c r="N92" s="938"/>
      <c r="O92" s="938"/>
      <c r="P92" s="938"/>
      <c r="Q92" s="938"/>
      <c r="R92" s="938"/>
      <c r="S92" s="938"/>
      <c r="T92" s="938"/>
      <c r="U92" s="938"/>
      <c r="V92" s="938"/>
      <c r="W92" s="938"/>
      <c r="X92" s="938"/>
      <c r="Y92" s="938"/>
      <c r="Z92" s="938"/>
      <c r="AA92" s="938"/>
      <c r="AB92" s="938"/>
      <c r="AC92" s="938"/>
      <c r="AD92" s="938"/>
      <c r="AE92" s="938"/>
      <c r="AF92" s="938"/>
      <c r="AG92" s="938"/>
      <c r="AH92" s="938"/>
      <c r="AI92" s="938"/>
      <c r="AJ92" s="938"/>
      <c r="AK92" s="938"/>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39" t="s">
        <v>65</v>
      </c>
      <c r="H94" s="939"/>
      <c r="I94" s="939"/>
      <c r="J94" s="939"/>
      <c r="K94" s="939"/>
      <c r="L94" s="939"/>
      <c r="M94" s="939"/>
      <c r="N94" s="939"/>
      <c r="O94" s="939"/>
      <c r="P94" s="939"/>
      <c r="Q94" s="939"/>
      <c r="R94" s="939"/>
      <c r="S94" s="939"/>
      <c r="T94" s="939"/>
      <c r="U94" s="939"/>
      <c r="V94" s="939"/>
      <c r="W94" s="939"/>
      <c r="X94" s="939"/>
      <c r="Y94" s="939"/>
      <c r="Z94" s="939"/>
      <c r="AA94" s="939"/>
      <c r="AB94" s="939"/>
      <c r="AC94" s="939"/>
      <c r="AD94" s="939"/>
      <c r="AE94" s="939"/>
      <c r="AF94" s="939"/>
      <c r="AG94" s="939"/>
      <c r="AH94" s="939"/>
      <c r="AI94" s="939"/>
      <c r="AJ94" s="939"/>
      <c r="AK94" s="939"/>
      <c r="AL94" s="296"/>
    </row>
    <row r="95" spans="1:38">
      <c r="A95" s="296"/>
      <c r="B95" s="296"/>
      <c r="C95" s="303"/>
      <c r="D95" s="296"/>
      <c r="E95" s="296"/>
      <c r="F95" s="296"/>
      <c r="G95" s="939"/>
      <c r="H95" s="939"/>
      <c r="I95" s="939"/>
      <c r="J95" s="939"/>
      <c r="K95" s="939"/>
      <c r="L95" s="939"/>
      <c r="M95" s="939"/>
      <c r="N95" s="939"/>
      <c r="O95" s="939"/>
      <c r="P95" s="939"/>
      <c r="Q95" s="939"/>
      <c r="R95" s="939"/>
      <c r="S95" s="939"/>
      <c r="T95" s="939"/>
      <c r="U95" s="939"/>
      <c r="V95" s="939"/>
      <c r="W95" s="939"/>
      <c r="X95" s="939"/>
      <c r="Y95" s="939"/>
      <c r="Z95" s="939"/>
      <c r="AA95" s="939"/>
      <c r="AB95" s="939"/>
      <c r="AC95" s="939"/>
      <c r="AD95" s="939"/>
      <c r="AE95" s="939"/>
      <c r="AF95" s="939"/>
      <c r="AG95" s="939"/>
      <c r="AH95" s="939"/>
      <c r="AI95" s="939"/>
      <c r="AJ95" s="939"/>
      <c r="AK95" s="939"/>
      <c r="AL95" s="296"/>
    </row>
    <row r="96" spans="1:38">
      <c r="A96" s="296"/>
      <c r="B96" s="296"/>
      <c r="C96" s="303"/>
      <c r="D96" s="296"/>
      <c r="E96" s="296"/>
      <c r="F96" s="296"/>
      <c r="G96" s="939"/>
      <c r="H96" s="939"/>
      <c r="I96" s="939"/>
      <c r="J96" s="939"/>
      <c r="K96" s="939"/>
      <c r="L96" s="939"/>
      <c r="M96" s="939"/>
      <c r="N96" s="939"/>
      <c r="O96" s="939"/>
      <c r="P96" s="939"/>
      <c r="Q96" s="939"/>
      <c r="R96" s="939"/>
      <c r="S96" s="939"/>
      <c r="T96" s="939"/>
      <c r="U96" s="939"/>
      <c r="V96" s="939"/>
      <c r="W96" s="939"/>
      <c r="X96" s="939"/>
      <c r="Y96" s="939"/>
      <c r="Z96" s="939"/>
      <c r="AA96" s="939"/>
      <c r="AB96" s="939"/>
      <c r="AC96" s="939"/>
      <c r="AD96" s="939"/>
      <c r="AE96" s="939"/>
      <c r="AF96" s="939"/>
      <c r="AG96" s="939"/>
      <c r="AH96" s="939"/>
      <c r="AI96" s="939"/>
      <c r="AJ96" s="939"/>
      <c r="AK96" s="939"/>
      <c r="AL96" s="296"/>
    </row>
    <row r="97" spans="1:38">
      <c r="A97" s="296"/>
      <c r="B97" s="296"/>
      <c r="C97" s="303"/>
      <c r="D97" s="296"/>
      <c r="E97" s="296"/>
      <c r="F97" s="296"/>
      <c r="G97" s="939"/>
      <c r="H97" s="939"/>
      <c r="I97" s="939"/>
      <c r="J97" s="939"/>
      <c r="K97" s="939"/>
      <c r="L97" s="939"/>
      <c r="M97" s="939"/>
      <c r="N97" s="939"/>
      <c r="O97" s="939"/>
      <c r="P97" s="939"/>
      <c r="Q97" s="939"/>
      <c r="R97" s="939"/>
      <c r="S97" s="939"/>
      <c r="T97" s="939"/>
      <c r="U97" s="939"/>
      <c r="V97" s="939"/>
      <c r="W97" s="939"/>
      <c r="X97" s="939"/>
      <c r="Y97" s="939"/>
      <c r="Z97" s="939"/>
      <c r="AA97" s="939"/>
      <c r="AB97" s="939"/>
      <c r="AC97" s="939"/>
      <c r="AD97" s="939"/>
      <c r="AE97" s="939"/>
      <c r="AF97" s="939"/>
      <c r="AG97" s="939"/>
      <c r="AH97" s="939"/>
      <c r="AI97" s="939"/>
      <c r="AJ97" s="939"/>
      <c r="AK97" s="939"/>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8" t="s">
        <v>68</v>
      </c>
      <c r="H99" s="938"/>
      <c r="I99" s="938"/>
      <c r="J99" s="938"/>
      <c r="K99" s="938"/>
      <c r="L99" s="938"/>
      <c r="M99" s="938"/>
      <c r="N99" s="938"/>
      <c r="O99" s="938"/>
      <c r="P99" s="938"/>
      <c r="Q99" s="938"/>
      <c r="R99" s="938"/>
      <c r="S99" s="938"/>
      <c r="T99" s="938"/>
      <c r="U99" s="938"/>
      <c r="V99" s="938"/>
      <c r="W99" s="938"/>
      <c r="X99" s="938"/>
      <c r="Y99" s="938"/>
      <c r="Z99" s="938"/>
      <c r="AA99" s="938"/>
      <c r="AB99" s="938"/>
      <c r="AC99" s="938"/>
      <c r="AD99" s="938"/>
      <c r="AE99" s="938"/>
      <c r="AF99" s="938"/>
      <c r="AG99" s="938"/>
      <c r="AH99" s="938"/>
      <c r="AI99" s="938"/>
      <c r="AJ99" s="938"/>
      <c r="AK99" s="938"/>
    </row>
    <row r="100" spans="1:38">
      <c r="A100" s="37"/>
      <c r="C100" s="3"/>
      <c r="D100" s="37"/>
      <c r="E100" s="37"/>
      <c r="G100" s="938"/>
      <c r="H100" s="938"/>
      <c r="I100" s="938"/>
      <c r="J100" s="938"/>
      <c r="K100" s="938"/>
      <c r="L100" s="938"/>
      <c r="M100" s="938"/>
      <c r="N100" s="938"/>
      <c r="O100" s="938"/>
      <c r="P100" s="938"/>
      <c r="Q100" s="938"/>
      <c r="R100" s="938"/>
      <c r="S100" s="938"/>
      <c r="T100" s="938"/>
      <c r="U100" s="938"/>
      <c r="V100" s="938"/>
      <c r="W100" s="938"/>
      <c r="X100" s="938"/>
      <c r="Y100" s="938"/>
      <c r="Z100" s="938"/>
      <c r="AA100" s="938"/>
      <c r="AB100" s="938"/>
      <c r="AC100" s="938"/>
      <c r="AD100" s="938"/>
      <c r="AE100" s="938"/>
      <c r="AF100" s="938"/>
      <c r="AG100" s="938"/>
      <c r="AH100" s="938"/>
      <c r="AI100" s="938"/>
      <c r="AJ100" s="938"/>
      <c r="AK100" s="938"/>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8" t="s">
        <v>71</v>
      </c>
      <c r="H102" s="938"/>
      <c r="I102" s="938"/>
      <c r="J102" s="938"/>
      <c r="K102" s="938"/>
      <c r="L102" s="938"/>
      <c r="M102" s="938"/>
      <c r="N102" s="938"/>
      <c r="O102" s="938"/>
      <c r="P102" s="938"/>
      <c r="Q102" s="938"/>
      <c r="R102" s="938"/>
      <c r="S102" s="938"/>
      <c r="T102" s="938"/>
      <c r="U102" s="938"/>
      <c r="V102" s="938"/>
      <c r="W102" s="938"/>
      <c r="X102" s="938"/>
      <c r="Y102" s="938"/>
      <c r="Z102" s="938"/>
      <c r="AA102" s="938"/>
      <c r="AB102" s="938"/>
      <c r="AC102" s="938"/>
      <c r="AD102" s="938"/>
      <c r="AE102" s="938"/>
      <c r="AF102" s="938"/>
      <c r="AG102" s="938"/>
      <c r="AH102" s="938"/>
      <c r="AI102" s="938"/>
      <c r="AJ102" s="938"/>
      <c r="AK102" s="938"/>
    </row>
    <row r="103" spans="1:38">
      <c r="A103" s="37"/>
      <c r="C103" s="3"/>
      <c r="D103" s="37"/>
      <c r="E103" s="37"/>
      <c r="G103" s="938"/>
      <c r="H103" s="938"/>
      <c r="I103" s="938"/>
      <c r="J103" s="938"/>
      <c r="K103" s="938"/>
      <c r="L103" s="938"/>
      <c r="M103" s="938"/>
      <c r="N103" s="938"/>
      <c r="O103" s="938"/>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8"/>
      <c r="AK103" s="938"/>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8" t="s">
        <v>74</v>
      </c>
      <c r="H105" s="938"/>
      <c r="I105" s="938"/>
      <c r="J105" s="938"/>
      <c r="K105" s="938"/>
      <c r="L105" s="938"/>
      <c r="M105" s="938"/>
      <c r="N105" s="938"/>
      <c r="O105" s="938"/>
      <c r="P105" s="938"/>
      <c r="Q105" s="938"/>
      <c r="R105" s="938"/>
      <c r="S105" s="938"/>
      <c r="T105" s="938"/>
      <c r="U105" s="938"/>
      <c r="V105" s="938"/>
      <c r="W105" s="938"/>
      <c r="X105" s="938"/>
      <c r="Y105" s="938"/>
      <c r="Z105" s="938"/>
      <c r="AA105" s="938"/>
      <c r="AB105" s="938"/>
      <c r="AC105" s="938"/>
      <c r="AD105" s="938"/>
      <c r="AE105" s="938"/>
      <c r="AF105" s="938"/>
      <c r="AG105" s="938"/>
      <c r="AH105" s="938"/>
      <c r="AI105" s="938"/>
      <c r="AJ105" s="938"/>
      <c r="AK105" s="938"/>
    </row>
    <row r="106" spans="1:38">
      <c r="A106" s="37"/>
      <c r="C106" s="3"/>
      <c r="D106" s="37"/>
      <c r="E106" s="37"/>
      <c r="F106" s="37"/>
      <c r="G106" s="938"/>
      <c r="H106" s="938"/>
      <c r="I106" s="938"/>
      <c r="J106" s="938"/>
      <c r="K106" s="938"/>
      <c r="L106" s="938"/>
      <c r="M106" s="938"/>
      <c r="N106" s="938"/>
      <c r="O106" s="938"/>
      <c r="P106" s="938"/>
      <c r="Q106" s="938"/>
      <c r="R106" s="938"/>
      <c r="S106" s="938"/>
      <c r="T106" s="938"/>
      <c r="U106" s="938"/>
      <c r="V106" s="938"/>
      <c r="W106" s="938"/>
      <c r="X106" s="938"/>
      <c r="Y106" s="938"/>
      <c r="Z106" s="938"/>
      <c r="AA106" s="938"/>
      <c r="AB106" s="938"/>
      <c r="AC106" s="938"/>
      <c r="AD106" s="938"/>
      <c r="AE106" s="938"/>
      <c r="AF106" s="938"/>
      <c r="AG106" s="938"/>
      <c r="AH106" s="938"/>
      <c r="AI106" s="938"/>
      <c r="AJ106" s="938"/>
      <c r="AK106" s="938"/>
    </row>
    <row r="107" spans="1:38">
      <c r="A107" s="37"/>
      <c r="C107" s="3"/>
      <c r="D107" s="3"/>
      <c r="E107" s="37"/>
      <c r="F107" s="37"/>
      <c r="G107" s="938"/>
      <c r="H107" s="938"/>
      <c r="I107" s="938"/>
      <c r="J107" s="938"/>
      <c r="K107" s="938"/>
      <c r="L107" s="938"/>
      <c r="M107" s="938"/>
      <c r="N107" s="938"/>
      <c r="O107" s="938"/>
      <c r="P107" s="938"/>
      <c r="Q107" s="938"/>
      <c r="R107" s="938"/>
      <c r="S107" s="938"/>
      <c r="T107" s="938"/>
      <c r="U107" s="938"/>
      <c r="V107" s="938"/>
      <c r="W107" s="938"/>
      <c r="X107" s="938"/>
      <c r="Y107" s="938"/>
      <c r="Z107" s="938"/>
      <c r="AA107" s="938"/>
      <c r="AB107" s="938"/>
      <c r="AC107" s="938"/>
      <c r="AD107" s="938"/>
      <c r="AE107" s="938"/>
      <c r="AF107" s="938"/>
      <c r="AG107" s="938"/>
      <c r="AH107" s="938"/>
      <c r="AI107" s="938"/>
      <c r="AJ107" s="938"/>
      <c r="AK107" s="938"/>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8" t="s">
        <v>77</v>
      </c>
      <c r="H109" s="938"/>
      <c r="I109" s="938"/>
      <c r="J109" s="938"/>
      <c r="K109" s="938"/>
      <c r="L109" s="938"/>
      <c r="M109" s="938"/>
      <c r="N109" s="938"/>
      <c r="O109" s="938"/>
      <c r="P109" s="938"/>
      <c r="Q109" s="938"/>
      <c r="R109" s="938"/>
      <c r="S109" s="938"/>
      <c r="T109" s="938"/>
      <c r="U109" s="938"/>
      <c r="V109" s="938"/>
      <c r="W109" s="938"/>
      <c r="X109" s="938"/>
      <c r="Y109" s="938"/>
      <c r="Z109" s="938"/>
      <c r="AA109" s="938"/>
      <c r="AB109" s="938"/>
      <c r="AC109" s="938"/>
      <c r="AD109" s="938"/>
      <c r="AE109" s="938"/>
      <c r="AF109" s="938"/>
      <c r="AG109" s="938"/>
      <c r="AH109" s="938"/>
      <c r="AI109" s="938"/>
      <c r="AJ109" s="938"/>
      <c r="AK109" s="938"/>
    </row>
    <row r="110" spans="1:38">
      <c r="A110" s="37"/>
      <c r="C110" s="3"/>
      <c r="D110" s="3"/>
      <c r="E110" s="37"/>
      <c r="F110" s="37"/>
      <c r="G110" s="938"/>
      <c r="H110" s="938"/>
      <c r="I110" s="938"/>
      <c r="J110" s="938"/>
      <c r="K110" s="938"/>
      <c r="L110" s="938"/>
      <c r="M110" s="938"/>
      <c r="N110" s="938"/>
      <c r="O110" s="938"/>
      <c r="P110" s="938"/>
      <c r="Q110" s="938"/>
      <c r="R110" s="938"/>
      <c r="S110" s="938"/>
      <c r="T110" s="938"/>
      <c r="U110" s="938"/>
      <c r="V110" s="938"/>
      <c r="W110" s="938"/>
      <c r="X110" s="938"/>
      <c r="Y110" s="938"/>
      <c r="Z110" s="938"/>
      <c r="AA110" s="938"/>
      <c r="AB110" s="938"/>
      <c r="AC110" s="938"/>
      <c r="AD110" s="938"/>
      <c r="AE110" s="938"/>
      <c r="AF110" s="938"/>
      <c r="AG110" s="938"/>
      <c r="AH110" s="938"/>
      <c r="AI110" s="938"/>
      <c r="AJ110" s="938"/>
      <c r="AK110" s="938"/>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74"/>
      <c r="E112" s="943" t="s">
        <v>79</v>
      </c>
      <c r="F112" s="943"/>
      <c r="G112" s="943"/>
      <c r="H112" s="943"/>
      <c r="I112" s="943"/>
      <c r="J112" s="943"/>
      <c r="K112" s="943"/>
      <c r="L112" s="943"/>
      <c r="M112" s="943"/>
      <c r="N112" s="943"/>
      <c r="O112" s="943"/>
      <c r="P112" s="943"/>
      <c r="Q112" s="943"/>
      <c r="R112" s="943"/>
      <c r="S112" s="943"/>
      <c r="T112" s="943"/>
      <c r="U112" s="943"/>
      <c r="V112" s="943"/>
      <c r="W112" s="943"/>
      <c r="X112" s="943"/>
      <c r="Y112" s="943"/>
      <c r="Z112" s="943"/>
      <c r="AA112" s="943"/>
      <c r="AB112" s="943"/>
      <c r="AC112" s="943"/>
      <c r="AD112" s="943"/>
      <c r="AE112" s="943"/>
      <c r="AF112" s="943"/>
      <c r="AG112" s="943"/>
      <c r="AH112" s="943"/>
      <c r="AI112" s="943"/>
      <c r="AJ112" s="943"/>
      <c r="AK112" s="943"/>
    </row>
    <row r="113" spans="1:38">
      <c r="A113" s="37"/>
      <c r="D113" s="574"/>
      <c r="E113" s="943"/>
      <c r="F113" s="943"/>
      <c r="G113" s="943"/>
      <c r="H113" s="943"/>
      <c r="I113" s="943"/>
      <c r="J113" s="943"/>
      <c r="K113" s="943"/>
      <c r="L113" s="943"/>
      <c r="M113" s="943"/>
      <c r="N113" s="943"/>
      <c r="O113" s="943"/>
      <c r="P113" s="943"/>
      <c r="Q113" s="943"/>
      <c r="R113" s="943"/>
      <c r="S113" s="943"/>
      <c r="T113" s="943"/>
      <c r="U113" s="943"/>
      <c r="V113" s="943"/>
      <c r="W113" s="943"/>
      <c r="X113" s="943"/>
      <c r="Y113" s="943"/>
      <c r="Z113" s="943"/>
      <c r="AA113" s="943"/>
      <c r="AB113" s="943"/>
      <c r="AC113" s="943"/>
      <c r="AD113" s="943"/>
      <c r="AE113" s="943"/>
      <c r="AF113" s="943"/>
      <c r="AG113" s="943"/>
      <c r="AH113" s="943"/>
      <c r="AI113" s="943"/>
      <c r="AJ113" s="943"/>
      <c r="AK113" s="943"/>
    </row>
    <row r="114" spans="1:38" ht="12.75" customHeight="1">
      <c r="A114" s="37"/>
      <c r="B114" s="575"/>
      <c r="C114" s="574"/>
      <c r="D114" s="574"/>
      <c r="E114" s="575"/>
      <c r="F114" s="574"/>
      <c r="G114" s="574"/>
      <c r="H114" s="57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74" t="s">
        <v>94</v>
      </c>
      <c r="G132" s="574"/>
    </row>
    <row r="133" spans="2:14">
      <c r="G133" s="57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8" t="s">
        <v>105</v>
      </c>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c r="AJ145" s="938"/>
      <c r="AK145" s="938"/>
    </row>
    <row r="146" spans="4:37">
      <c r="E146" s="938"/>
      <c r="F146" s="938"/>
      <c r="G146" s="938"/>
      <c r="H146" s="938"/>
      <c r="I146" s="938"/>
      <c r="J146" s="938"/>
      <c r="K146" s="938"/>
      <c r="L146" s="938"/>
      <c r="M146" s="938"/>
      <c r="N146" s="938"/>
      <c r="O146" s="938"/>
      <c r="P146" s="938"/>
      <c r="Q146" s="938"/>
      <c r="R146" s="938"/>
      <c r="S146" s="938"/>
      <c r="T146" s="938"/>
      <c r="U146" s="938"/>
      <c r="V146" s="938"/>
      <c r="W146" s="938"/>
      <c r="X146" s="938"/>
      <c r="Y146" s="938"/>
      <c r="Z146" s="938"/>
      <c r="AA146" s="938"/>
      <c r="AB146" s="938"/>
      <c r="AC146" s="938"/>
      <c r="AD146" s="938"/>
      <c r="AE146" s="938"/>
      <c r="AF146" s="938"/>
      <c r="AG146" s="938"/>
      <c r="AH146" s="938"/>
      <c r="AI146" s="938"/>
      <c r="AJ146" s="938"/>
      <c r="AK146" s="938"/>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8" t="s">
        <v>117</v>
      </c>
      <c r="H158" s="938"/>
      <c r="I158" s="938"/>
      <c r="J158" s="938"/>
      <c r="K158" s="938"/>
      <c r="L158" s="938"/>
      <c r="M158" s="938"/>
      <c r="N158" s="938"/>
      <c r="O158" s="938"/>
      <c r="P158" s="938"/>
      <c r="Q158" s="938"/>
      <c r="R158" s="938"/>
      <c r="S158" s="938"/>
      <c r="T158" s="938"/>
      <c r="U158" s="938"/>
      <c r="V158" s="938"/>
      <c r="W158" s="938"/>
      <c r="X158" s="938"/>
      <c r="Y158" s="938"/>
      <c r="Z158" s="938"/>
      <c r="AA158" s="938"/>
      <c r="AB158" s="938"/>
      <c r="AC158" s="938"/>
      <c r="AD158" s="938"/>
      <c r="AE158" s="938"/>
      <c r="AF158" s="938"/>
      <c r="AG158" s="938"/>
      <c r="AH158" s="938"/>
      <c r="AI158" s="938"/>
      <c r="AJ158" s="938"/>
      <c r="AK158" s="938"/>
    </row>
    <row r="159" spans="4:37">
      <c r="G159" s="938"/>
      <c r="H159" s="938"/>
      <c r="I159" s="938"/>
      <c r="J159" s="938"/>
      <c r="K159" s="938"/>
      <c r="L159" s="938"/>
      <c r="M159" s="938"/>
      <c r="N159" s="938"/>
      <c r="O159" s="938"/>
      <c r="P159" s="938"/>
      <c r="Q159" s="938"/>
      <c r="R159" s="938"/>
      <c r="S159" s="938"/>
      <c r="T159" s="938"/>
      <c r="U159" s="938"/>
      <c r="V159" s="938"/>
      <c r="W159" s="938"/>
      <c r="X159" s="938"/>
      <c r="Y159" s="938"/>
      <c r="Z159" s="938"/>
      <c r="AA159" s="938"/>
      <c r="AB159" s="938"/>
      <c r="AC159" s="938"/>
      <c r="AD159" s="938"/>
      <c r="AE159" s="938"/>
      <c r="AF159" s="938"/>
      <c r="AG159" s="938"/>
      <c r="AH159" s="938"/>
      <c r="AI159" s="938"/>
      <c r="AJ159" s="938"/>
      <c r="AK159" s="938"/>
    </row>
    <row r="160" spans="4:37"/>
    <row r="161" spans="3:9">
      <c r="D161" s="3" t="s">
        <v>118</v>
      </c>
      <c r="E161" s="3" t="s">
        <v>119</v>
      </c>
    </row>
    <row r="162" spans="3:9">
      <c r="E162" s="661"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8" t="s">
        <v>168</v>
      </c>
      <c r="H222" s="938"/>
      <c r="I222" s="938"/>
      <c r="J222" s="938"/>
      <c r="K222" s="938"/>
      <c r="L222" s="938"/>
      <c r="M222" s="938"/>
      <c r="N222" s="938"/>
      <c r="O222" s="938"/>
      <c r="P222" s="938"/>
      <c r="Q222" s="938"/>
      <c r="R222" s="938"/>
      <c r="S222" s="938"/>
      <c r="T222" s="938"/>
      <c r="U222" s="938"/>
      <c r="V222" s="938"/>
      <c r="W222" s="938"/>
      <c r="X222" s="938"/>
      <c r="Y222" s="938"/>
      <c r="Z222" s="938"/>
      <c r="AA222" s="938"/>
      <c r="AB222" s="938"/>
      <c r="AC222" s="938"/>
      <c r="AD222" s="938"/>
      <c r="AE222" s="938"/>
      <c r="AF222" s="938"/>
      <c r="AG222" s="938"/>
      <c r="AH222" s="938"/>
      <c r="AI222" s="938"/>
      <c r="AJ222" s="938"/>
      <c r="AK222" s="938"/>
    </row>
    <row r="223" spans="2:37">
      <c r="B223" s="37"/>
      <c r="C223" s="37"/>
      <c r="D223" s="3"/>
      <c r="G223" s="938"/>
      <c r="H223" s="938"/>
      <c r="I223" s="938"/>
      <c r="J223" s="938"/>
      <c r="K223" s="938"/>
      <c r="L223" s="938"/>
      <c r="M223" s="938"/>
      <c r="N223" s="938"/>
      <c r="O223" s="938"/>
      <c r="P223" s="938"/>
      <c r="Q223" s="938"/>
      <c r="R223" s="938"/>
      <c r="S223" s="938"/>
      <c r="T223" s="938"/>
      <c r="U223" s="938"/>
      <c r="V223" s="938"/>
      <c r="W223" s="938"/>
      <c r="X223" s="938"/>
      <c r="Y223" s="938"/>
      <c r="Z223" s="938"/>
      <c r="AA223" s="938"/>
      <c r="AB223" s="938"/>
      <c r="AC223" s="938"/>
      <c r="AD223" s="938"/>
      <c r="AE223" s="938"/>
      <c r="AF223" s="938"/>
      <c r="AG223" s="938"/>
      <c r="AH223" s="938"/>
      <c r="AI223" s="938"/>
      <c r="AJ223" s="938"/>
      <c r="AK223" s="938"/>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8" t="s">
        <v>176</v>
      </c>
      <c r="H233" s="938"/>
      <c r="I233" s="938"/>
      <c r="J233" s="938"/>
      <c r="K233" s="938"/>
      <c r="L233" s="938"/>
      <c r="M233" s="938"/>
      <c r="N233" s="938"/>
      <c r="O233" s="938"/>
      <c r="P233" s="938"/>
      <c r="Q233" s="938"/>
      <c r="R233" s="938"/>
      <c r="S233" s="938"/>
      <c r="T233" s="938"/>
      <c r="U233" s="938"/>
      <c r="V233" s="938"/>
      <c r="W233" s="938"/>
      <c r="X233" s="938"/>
      <c r="Y233" s="938"/>
      <c r="Z233" s="938"/>
      <c r="AA233" s="938"/>
      <c r="AB233" s="938"/>
      <c r="AC233" s="938"/>
      <c r="AD233" s="938"/>
      <c r="AE233" s="938"/>
      <c r="AF233" s="938"/>
      <c r="AG233" s="938"/>
      <c r="AH233" s="938"/>
      <c r="AI233" s="938"/>
      <c r="AJ233" s="938"/>
      <c r="AK233" s="938"/>
    </row>
    <row r="234" spans="1:38">
      <c r="B234" s="37"/>
      <c r="C234" s="37"/>
      <c r="F234" s="37"/>
      <c r="G234" s="938"/>
      <c r="H234" s="938"/>
      <c r="I234" s="938"/>
      <c r="J234" s="938"/>
      <c r="K234" s="938"/>
      <c r="L234" s="938"/>
      <c r="M234" s="938"/>
      <c r="N234" s="938"/>
      <c r="O234" s="938"/>
      <c r="P234" s="938"/>
      <c r="Q234" s="938"/>
      <c r="R234" s="938"/>
      <c r="S234" s="938"/>
      <c r="T234" s="938"/>
      <c r="U234" s="938"/>
      <c r="V234" s="938"/>
      <c r="W234" s="938"/>
      <c r="X234" s="938"/>
      <c r="Y234" s="938"/>
      <c r="Z234" s="938"/>
      <c r="AA234" s="938"/>
      <c r="AB234" s="938"/>
      <c r="AC234" s="938"/>
      <c r="AD234" s="938"/>
      <c r="AE234" s="938"/>
      <c r="AF234" s="938"/>
      <c r="AG234" s="938"/>
      <c r="AH234" s="938"/>
      <c r="AI234" s="938"/>
      <c r="AJ234" s="938"/>
      <c r="AK234" s="938"/>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8" t="s">
        <v>178</v>
      </c>
      <c r="H236" s="938"/>
      <c r="I236" s="938"/>
      <c r="J236" s="938"/>
      <c r="K236" s="938"/>
      <c r="L236" s="938"/>
      <c r="M236" s="938"/>
      <c r="N236" s="938"/>
      <c r="O236" s="938"/>
      <c r="P236" s="938"/>
      <c r="Q236" s="938"/>
      <c r="R236" s="938"/>
      <c r="S236" s="938"/>
      <c r="T236" s="938"/>
      <c r="U236" s="938"/>
      <c r="V236" s="938"/>
      <c r="W236" s="938"/>
      <c r="X236" s="938"/>
      <c r="Y236" s="938"/>
      <c r="Z236" s="938"/>
      <c r="AA236" s="938"/>
      <c r="AB236" s="938"/>
      <c r="AC236" s="938"/>
      <c r="AD236" s="938"/>
      <c r="AE236" s="938"/>
      <c r="AF236" s="938"/>
      <c r="AG236" s="938"/>
      <c r="AH236" s="938"/>
      <c r="AI236" s="938"/>
      <c r="AJ236" s="938"/>
      <c r="AK236" s="938"/>
    </row>
    <row r="237" spans="1:38">
      <c r="B237" s="37"/>
      <c r="C237" s="37"/>
      <c r="F237" s="37"/>
      <c r="G237" s="938"/>
      <c r="H237" s="938"/>
      <c r="I237" s="938"/>
      <c r="J237" s="938"/>
      <c r="K237" s="938"/>
      <c r="L237" s="938"/>
      <c r="M237" s="938"/>
      <c r="N237" s="938"/>
      <c r="O237" s="938"/>
      <c r="P237" s="938"/>
      <c r="Q237" s="938"/>
      <c r="R237" s="938"/>
      <c r="S237" s="938"/>
      <c r="T237" s="938"/>
      <c r="U237" s="938"/>
      <c r="V237" s="938"/>
      <c r="W237" s="938"/>
      <c r="X237" s="938"/>
      <c r="Y237" s="938"/>
      <c r="Z237" s="938"/>
      <c r="AA237" s="938"/>
      <c r="AB237" s="938"/>
      <c r="AC237" s="938"/>
      <c r="AD237" s="938"/>
      <c r="AE237" s="938"/>
      <c r="AF237" s="938"/>
      <c r="AG237" s="938"/>
      <c r="AH237" s="938"/>
      <c r="AI237" s="938"/>
      <c r="AJ237" s="938"/>
      <c r="AK237" s="938"/>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0"/>
      <c r="F239" s="340"/>
      <c r="G239" s="340"/>
      <c r="H239" s="340"/>
      <c r="I239" s="340"/>
      <c r="J239" s="340"/>
      <c r="K239" s="9"/>
      <c r="L239" s="340"/>
      <c r="M239" s="340"/>
      <c r="N239" s="340"/>
      <c r="O239" s="340"/>
      <c r="P239" s="340"/>
      <c r="Q239" s="340"/>
      <c r="R239" s="340"/>
      <c r="S239" s="340"/>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76" t="s">
        <v>217</v>
      </c>
      <c r="G286" s="37"/>
      <c r="H286" s="576"/>
      <c r="I286" s="57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0"/>
      <c r="K331" s="340"/>
      <c r="L331" s="340"/>
      <c r="M331" s="340"/>
      <c r="N331" s="340"/>
      <c r="O331" s="340"/>
      <c r="P331" s="340"/>
      <c r="Q331" s="340"/>
      <c r="R331" s="340"/>
      <c r="S331" s="340"/>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4.1" customHeight="1">
      <c r="B343" s="3"/>
      <c r="E343" s="940" t="s">
        <v>262</v>
      </c>
      <c r="F343" s="940"/>
      <c r="G343" s="940"/>
      <c r="H343" s="940"/>
      <c r="I343" s="940"/>
      <c r="J343" s="940"/>
      <c r="K343" s="940"/>
      <c r="L343" s="940"/>
      <c r="M343" s="940"/>
      <c r="N343" s="940"/>
      <c r="O343" s="940"/>
      <c r="P343" s="940"/>
      <c r="Q343" s="940"/>
      <c r="R343" s="940"/>
      <c r="S343" s="940"/>
      <c r="T343" s="940"/>
      <c r="U343" s="940"/>
      <c r="V343" s="940"/>
      <c r="W343" s="940"/>
      <c r="X343" s="940"/>
      <c r="Y343" s="940"/>
      <c r="Z343" s="940"/>
      <c r="AA343" s="940"/>
      <c r="AB343" s="940"/>
      <c r="AC343" s="940"/>
      <c r="AD343" s="940"/>
      <c r="AE343" s="940"/>
      <c r="AF343" s="940"/>
      <c r="AG343" s="940"/>
      <c r="AH343" s="940"/>
      <c r="AI343" s="940"/>
      <c r="AJ343" s="940"/>
      <c r="AK343" s="940"/>
    </row>
    <row r="344" spans="2:37">
      <c r="B344" s="3"/>
      <c r="E344" s="940"/>
      <c r="F344" s="940"/>
      <c r="G344" s="940"/>
      <c r="H344" s="940"/>
      <c r="I344" s="940"/>
      <c r="J344" s="940"/>
      <c r="K344" s="940"/>
      <c r="L344" s="940"/>
      <c r="M344" s="940"/>
      <c r="N344" s="940"/>
      <c r="O344" s="940"/>
      <c r="P344" s="940"/>
      <c r="Q344" s="940"/>
      <c r="R344" s="940"/>
      <c r="S344" s="940"/>
      <c r="T344" s="940"/>
      <c r="U344" s="940"/>
      <c r="V344" s="940"/>
      <c r="W344" s="940"/>
      <c r="X344" s="940"/>
      <c r="Y344" s="940"/>
      <c r="Z344" s="940"/>
      <c r="AA344" s="940"/>
      <c r="AB344" s="940"/>
      <c r="AC344" s="940"/>
      <c r="AD344" s="940"/>
      <c r="AE344" s="940"/>
      <c r="AF344" s="940"/>
      <c r="AG344" s="940"/>
      <c r="AH344" s="940"/>
      <c r="AI344" s="940"/>
      <c r="AJ344" s="940"/>
      <c r="AK344" s="940"/>
    </row>
    <row r="345" spans="2:37">
      <c r="B345" s="3"/>
      <c r="E345" s="940"/>
      <c r="F345" s="940"/>
      <c r="G345" s="940"/>
      <c r="H345" s="940"/>
      <c r="I345" s="940"/>
      <c r="J345" s="940"/>
      <c r="K345" s="940"/>
      <c r="L345" s="940"/>
      <c r="M345" s="940"/>
      <c r="N345" s="940"/>
      <c r="O345" s="940"/>
      <c r="P345" s="940"/>
      <c r="Q345" s="940"/>
      <c r="R345" s="940"/>
      <c r="S345" s="940"/>
      <c r="T345" s="940"/>
      <c r="U345" s="940"/>
      <c r="V345" s="940"/>
      <c r="W345" s="940"/>
      <c r="X345" s="940"/>
      <c r="Y345" s="940"/>
      <c r="Z345" s="940"/>
      <c r="AA345" s="940"/>
      <c r="AB345" s="940"/>
      <c r="AC345" s="940"/>
      <c r="AD345" s="940"/>
      <c r="AE345" s="940"/>
      <c r="AF345" s="940"/>
      <c r="AG345" s="940"/>
      <c r="AH345" s="940"/>
      <c r="AI345" s="940"/>
      <c r="AJ345" s="940"/>
      <c r="AK345" s="940"/>
    </row>
    <row r="346" spans="2:37">
      <c r="B346" s="3"/>
      <c r="E346" s="940"/>
      <c r="F346" s="940"/>
      <c r="G346" s="940"/>
      <c r="H346" s="940"/>
      <c r="I346" s="940"/>
      <c r="J346" s="940"/>
      <c r="K346" s="940"/>
      <c r="L346" s="940"/>
      <c r="M346" s="940"/>
      <c r="N346" s="940"/>
      <c r="O346" s="940"/>
      <c r="P346" s="940"/>
      <c r="Q346" s="940"/>
      <c r="R346" s="940"/>
      <c r="S346" s="940"/>
      <c r="T346" s="940"/>
      <c r="U346" s="940"/>
      <c r="V346" s="940"/>
      <c r="W346" s="940"/>
      <c r="X346" s="940"/>
      <c r="Y346" s="940"/>
      <c r="Z346" s="940"/>
      <c r="AA346" s="940"/>
      <c r="AB346" s="940"/>
      <c r="AC346" s="940"/>
      <c r="AD346" s="940"/>
      <c r="AE346" s="940"/>
      <c r="AF346" s="940"/>
      <c r="AG346" s="940"/>
      <c r="AH346" s="940"/>
      <c r="AI346" s="940"/>
      <c r="AJ346" s="940"/>
      <c r="AK346" s="940"/>
    </row>
    <row r="347" spans="2:37">
      <c r="B347" s="3"/>
      <c r="E347" s="940"/>
      <c r="F347" s="940"/>
      <c r="G347" s="940"/>
      <c r="H347" s="940"/>
      <c r="I347" s="940"/>
      <c r="J347" s="940"/>
      <c r="K347" s="940"/>
      <c r="L347" s="940"/>
      <c r="M347" s="940"/>
      <c r="N347" s="940"/>
      <c r="O347" s="940"/>
      <c r="P347" s="940"/>
      <c r="Q347" s="940"/>
      <c r="R347" s="940"/>
      <c r="S347" s="940"/>
      <c r="T347" s="940"/>
      <c r="U347" s="940"/>
      <c r="V347" s="940"/>
      <c r="W347" s="940"/>
      <c r="X347" s="940"/>
      <c r="Y347" s="940"/>
      <c r="Z347" s="940"/>
      <c r="AA347" s="940"/>
      <c r="AB347" s="940"/>
      <c r="AC347" s="940"/>
      <c r="AD347" s="940"/>
      <c r="AE347" s="940"/>
      <c r="AF347" s="940"/>
      <c r="AG347" s="940"/>
      <c r="AH347" s="940"/>
      <c r="AI347" s="940"/>
      <c r="AJ347" s="940"/>
      <c r="AK347" s="940"/>
    </row>
    <row r="348" spans="2:37">
      <c r="B348" s="3"/>
      <c r="E348" s="37" t="s">
        <v>14</v>
      </c>
      <c r="F348" s="938" t="s">
        <v>263</v>
      </c>
      <c r="G348" s="938"/>
      <c r="H348" s="938"/>
      <c r="I348" s="938"/>
      <c r="J348" s="938"/>
      <c r="K348" s="938"/>
      <c r="L348" s="938"/>
      <c r="M348" s="938"/>
      <c r="N348" s="938"/>
      <c r="O348" s="938"/>
      <c r="P348" s="938"/>
      <c r="Q348" s="938"/>
      <c r="R348" s="938"/>
      <c r="S348" s="938"/>
      <c r="T348" s="938"/>
      <c r="U348" s="938"/>
      <c r="V348" s="938"/>
      <c r="W348" s="938"/>
      <c r="X348" s="938"/>
      <c r="Y348" s="938"/>
      <c r="Z348" s="938"/>
      <c r="AA348" s="938"/>
      <c r="AB348" s="938"/>
      <c r="AC348" s="938"/>
      <c r="AD348" s="938"/>
      <c r="AE348" s="938"/>
      <c r="AF348" s="938"/>
      <c r="AG348" s="938"/>
      <c r="AH348" s="938"/>
      <c r="AI348" s="938"/>
      <c r="AJ348" s="938"/>
      <c r="AK348" s="938"/>
    </row>
    <row r="349" spans="2:37">
      <c r="B349" s="3"/>
      <c r="E349" s="37"/>
      <c r="F349" s="938"/>
      <c r="G349" s="938"/>
      <c r="H349" s="938"/>
      <c r="I349" s="938"/>
      <c r="J349" s="938"/>
      <c r="K349" s="938"/>
      <c r="L349" s="938"/>
      <c r="M349" s="938"/>
      <c r="N349" s="938"/>
      <c r="O349" s="938"/>
      <c r="P349" s="938"/>
      <c r="Q349" s="938"/>
      <c r="R349" s="938"/>
      <c r="S349" s="938"/>
      <c r="T349" s="938"/>
      <c r="U349" s="938"/>
      <c r="V349" s="938"/>
      <c r="W349" s="938"/>
      <c r="X349" s="938"/>
      <c r="Y349" s="938"/>
      <c r="Z349" s="938"/>
      <c r="AA349" s="938"/>
      <c r="AB349" s="938"/>
      <c r="AC349" s="938"/>
      <c r="AD349" s="938"/>
      <c r="AE349" s="938"/>
      <c r="AF349" s="938"/>
      <c r="AG349" s="938"/>
      <c r="AH349" s="938"/>
      <c r="AI349" s="938"/>
      <c r="AJ349" s="938"/>
      <c r="AK349" s="938"/>
    </row>
    <row r="350" spans="2:37">
      <c r="B350" s="3"/>
      <c r="E350" s="37"/>
      <c r="F350" s="938"/>
      <c r="G350" s="938"/>
      <c r="H350" s="938"/>
      <c r="I350" s="938"/>
      <c r="J350" s="938"/>
      <c r="K350" s="938"/>
      <c r="L350" s="938"/>
      <c r="M350" s="938"/>
      <c r="N350" s="938"/>
      <c r="O350" s="938"/>
      <c r="P350" s="938"/>
      <c r="Q350" s="938"/>
      <c r="R350" s="938"/>
      <c r="S350" s="938"/>
      <c r="T350" s="938"/>
      <c r="U350" s="938"/>
      <c r="V350" s="938"/>
      <c r="W350" s="938"/>
      <c r="X350" s="938"/>
      <c r="Y350" s="938"/>
      <c r="Z350" s="938"/>
      <c r="AA350" s="938"/>
      <c r="AB350" s="938"/>
      <c r="AC350" s="938"/>
      <c r="AD350" s="938"/>
      <c r="AE350" s="938"/>
      <c r="AF350" s="938"/>
      <c r="AG350" s="938"/>
      <c r="AH350" s="938"/>
      <c r="AI350" s="938"/>
      <c r="AJ350" s="938"/>
      <c r="AK350" s="938"/>
    </row>
    <row r="351" spans="2:37">
      <c r="B351" s="3"/>
      <c r="E351" s="37"/>
      <c r="F351" s="938"/>
      <c r="G351" s="938"/>
      <c r="H351" s="938"/>
      <c r="I351" s="938"/>
      <c r="J351" s="938"/>
      <c r="K351" s="938"/>
      <c r="L351" s="938"/>
      <c r="M351" s="938"/>
      <c r="N351" s="938"/>
      <c r="O351" s="938"/>
      <c r="P351" s="938"/>
      <c r="Q351" s="938"/>
      <c r="R351" s="938"/>
      <c r="S351" s="938"/>
      <c r="T351" s="938"/>
      <c r="U351" s="938"/>
      <c r="V351" s="938"/>
      <c r="W351" s="938"/>
      <c r="X351" s="938"/>
      <c r="Y351" s="938"/>
      <c r="Z351" s="938"/>
      <c r="AA351" s="938"/>
      <c r="AB351" s="938"/>
      <c r="AC351" s="938"/>
      <c r="AD351" s="938"/>
      <c r="AE351" s="938"/>
      <c r="AF351" s="938"/>
      <c r="AG351" s="938"/>
      <c r="AH351" s="938"/>
      <c r="AI351" s="938"/>
      <c r="AJ351" s="938"/>
      <c r="AK351" s="938"/>
    </row>
    <row r="352" spans="2:37">
      <c r="B352" s="3"/>
      <c r="E352" s="37" t="s">
        <v>27</v>
      </c>
      <c r="F352" s="938" t="s">
        <v>264</v>
      </c>
      <c r="G352" s="938"/>
      <c r="H352" s="938"/>
      <c r="I352" s="938"/>
      <c r="J352" s="938"/>
      <c r="K352" s="938"/>
      <c r="L352" s="938"/>
      <c r="M352" s="938"/>
      <c r="N352" s="938"/>
      <c r="O352" s="938"/>
      <c r="P352" s="938"/>
      <c r="Q352" s="938"/>
      <c r="R352" s="938"/>
      <c r="S352" s="938"/>
      <c r="T352" s="938"/>
      <c r="U352" s="938"/>
      <c r="V352" s="938"/>
      <c r="W352" s="938"/>
      <c r="X352" s="938"/>
      <c r="Y352" s="938"/>
      <c r="Z352" s="938"/>
      <c r="AA352" s="938"/>
      <c r="AB352" s="938"/>
      <c r="AC352" s="938"/>
      <c r="AD352" s="938"/>
      <c r="AE352" s="938"/>
      <c r="AF352" s="938"/>
      <c r="AG352" s="938"/>
      <c r="AH352" s="938"/>
      <c r="AI352" s="938"/>
      <c r="AJ352" s="938"/>
      <c r="AK352" s="938"/>
    </row>
    <row r="353" spans="1:38">
      <c r="B353" s="3"/>
      <c r="F353" s="938"/>
      <c r="G353" s="938"/>
      <c r="H353" s="938"/>
      <c r="I353" s="938"/>
      <c r="J353" s="938"/>
      <c r="K353" s="938"/>
      <c r="L353" s="938"/>
      <c r="M353" s="938"/>
      <c r="N353" s="938"/>
      <c r="O353" s="938"/>
      <c r="P353" s="938"/>
      <c r="Q353" s="938"/>
      <c r="R353" s="938"/>
      <c r="S353" s="938"/>
      <c r="T353" s="938"/>
      <c r="U353" s="938"/>
      <c r="V353" s="938"/>
      <c r="W353" s="938"/>
      <c r="X353" s="938"/>
      <c r="Y353" s="938"/>
      <c r="Z353" s="938"/>
      <c r="AA353" s="938"/>
      <c r="AB353" s="938"/>
      <c r="AC353" s="938"/>
      <c r="AD353" s="938"/>
      <c r="AE353" s="938"/>
      <c r="AF353" s="938"/>
      <c r="AG353" s="938"/>
      <c r="AH353" s="938"/>
      <c r="AI353" s="938"/>
      <c r="AJ353" s="938"/>
      <c r="AK353" s="938"/>
    </row>
    <row r="354" spans="1:38">
      <c r="B354" s="3"/>
      <c r="F354" s="938"/>
      <c r="G354" s="938"/>
      <c r="H354" s="938"/>
      <c r="I354" s="938"/>
      <c r="J354" s="938"/>
      <c r="K354" s="938"/>
      <c r="L354" s="938"/>
      <c r="M354" s="938"/>
      <c r="N354" s="938"/>
      <c r="O354" s="938"/>
      <c r="P354" s="938"/>
      <c r="Q354" s="938"/>
      <c r="R354" s="938"/>
      <c r="S354" s="938"/>
      <c r="T354" s="938"/>
      <c r="U354" s="938"/>
      <c r="V354" s="938"/>
      <c r="W354" s="938"/>
      <c r="X354" s="938"/>
      <c r="Y354" s="938"/>
      <c r="Z354" s="938"/>
      <c r="AA354" s="938"/>
      <c r="AB354" s="938"/>
      <c r="AC354" s="938"/>
      <c r="AD354" s="938"/>
      <c r="AE354" s="938"/>
      <c r="AF354" s="938"/>
      <c r="AG354" s="938"/>
      <c r="AH354" s="938"/>
      <c r="AI354" s="938"/>
      <c r="AJ354" s="938"/>
      <c r="AK354" s="938"/>
    </row>
    <row r="355" spans="1:38">
      <c r="B355" s="3"/>
      <c r="F355" s="938"/>
      <c r="G355" s="938"/>
      <c r="H355" s="938"/>
      <c r="I355" s="938"/>
      <c r="J355" s="938"/>
      <c r="K355" s="938"/>
      <c r="L355" s="938"/>
      <c r="M355" s="938"/>
      <c r="N355" s="938"/>
      <c r="O355" s="938"/>
      <c r="P355" s="938"/>
      <c r="Q355" s="938"/>
      <c r="R355" s="938"/>
      <c r="S355" s="938"/>
      <c r="T355" s="938"/>
      <c r="U355" s="938"/>
      <c r="V355" s="938"/>
      <c r="W355" s="938"/>
      <c r="X355" s="938"/>
      <c r="Y355" s="938"/>
      <c r="Z355" s="938"/>
      <c r="AA355" s="938"/>
      <c r="AB355" s="938"/>
      <c r="AC355" s="938"/>
      <c r="AD355" s="938"/>
      <c r="AE355" s="938"/>
      <c r="AF355" s="938"/>
      <c r="AG355" s="938"/>
      <c r="AH355" s="938"/>
      <c r="AI355" s="938"/>
      <c r="AJ355" s="938"/>
      <c r="AK355" s="938"/>
    </row>
    <row r="356" spans="1:38">
      <c r="A356" s="9"/>
      <c r="B356" s="146" t="s">
        <v>265</v>
      </c>
      <c r="C356" s="146" t="s">
        <v>266</v>
      </c>
      <c r="D356" s="9"/>
      <c r="E356" s="146"/>
      <c r="F356" s="9"/>
      <c r="G356" s="9"/>
      <c r="H356" s="9"/>
      <c r="I356" s="9"/>
      <c r="J356" s="9"/>
      <c r="K356" s="9"/>
      <c r="L356" s="9"/>
      <c r="M356" s="340"/>
      <c r="N356" s="340"/>
      <c r="O356" s="340"/>
      <c r="P356" s="340"/>
      <c r="Q356" s="340"/>
      <c r="R356" s="340"/>
      <c r="S356" s="340"/>
      <c r="T356" s="340"/>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42" customFormat="1">
      <c r="A365"/>
      <c r="B365" s="3"/>
      <c r="C365"/>
      <c r="D365"/>
      <c r="E365" s="942" t="s">
        <v>274</v>
      </c>
    </row>
    <row r="366" spans="1:38" s="942" customFormat="1">
      <c r="A366"/>
      <c r="B366" s="3"/>
      <c r="C366"/>
      <c r="D366"/>
    </row>
    <row r="367" spans="1:38">
      <c r="B367" s="3"/>
      <c r="F367" s="941" t="s">
        <v>275</v>
      </c>
      <c r="G367" s="941"/>
      <c r="H367" s="941"/>
      <c r="I367" s="941"/>
      <c r="J367" s="941"/>
      <c r="K367" s="941"/>
      <c r="L367" s="941"/>
      <c r="M367" s="941"/>
      <c r="N367" s="941"/>
      <c r="O367" s="941"/>
      <c r="P367" s="941"/>
      <c r="Q367" s="941"/>
      <c r="R367" s="941"/>
      <c r="S367" s="941"/>
      <c r="T367" s="941"/>
      <c r="U367" s="941"/>
      <c r="V367" s="941"/>
      <c r="W367" s="941"/>
      <c r="X367" s="941"/>
      <c r="Y367" s="941"/>
      <c r="Z367" s="941"/>
      <c r="AA367" s="941"/>
      <c r="AB367" s="941"/>
      <c r="AC367" s="941"/>
      <c r="AD367" s="941"/>
      <c r="AE367" s="941"/>
      <c r="AF367" s="941"/>
      <c r="AG367" s="941"/>
      <c r="AH367" s="941"/>
      <c r="AI367" s="941"/>
      <c r="AJ367" s="941"/>
      <c r="AK367" s="941"/>
      <c r="AL367" s="941"/>
    </row>
    <row r="368" spans="1:38">
      <c r="B368" s="3"/>
      <c r="F368" s="941"/>
      <c r="G368" s="941"/>
      <c r="H368" s="941"/>
      <c r="I368" s="941"/>
      <c r="J368" s="941"/>
      <c r="K368" s="941"/>
      <c r="L368" s="941"/>
      <c r="M368" s="941"/>
      <c r="N368" s="941"/>
      <c r="O368" s="941"/>
      <c r="P368" s="941"/>
      <c r="Q368" s="941"/>
      <c r="R368" s="941"/>
      <c r="S368" s="941"/>
      <c r="T368" s="941"/>
      <c r="U368" s="941"/>
      <c r="V368" s="941"/>
      <c r="W368" s="941"/>
      <c r="X368" s="941"/>
      <c r="Y368" s="941"/>
      <c r="Z368" s="941"/>
      <c r="AA368" s="941"/>
      <c r="AB368" s="941"/>
      <c r="AC368" s="941"/>
      <c r="AD368" s="941"/>
      <c r="AE368" s="941"/>
      <c r="AF368" s="941"/>
      <c r="AG368" s="941"/>
      <c r="AH368" s="941"/>
      <c r="AI368" s="941"/>
      <c r="AJ368" s="941"/>
      <c r="AK368" s="941"/>
      <c r="AL368" s="941"/>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77"/>
      <c r="J378" s="37"/>
      <c r="K378" s="37"/>
      <c r="L378" s="37"/>
      <c r="M378" s="37"/>
      <c r="N378" s="37"/>
      <c r="O378" s="37"/>
      <c r="P378" s="37"/>
      <c r="Q378" s="37"/>
      <c r="R378" s="37"/>
      <c r="S378" s="37"/>
    </row>
    <row r="379" spans="2:19">
      <c r="B379" s="3"/>
      <c r="E379" s="37"/>
      <c r="F379" s="37" t="s">
        <v>284</v>
      </c>
      <c r="G379" s="37"/>
      <c r="I379" s="57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77"/>
      <c r="J389" s="37"/>
      <c r="K389" s="37"/>
      <c r="L389" s="37"/>
      <c r="M389" s="37"/>
      <c r="N389" s="37"/>
      <c r="O389" s="37"/>
      <c r="P389" s="37"/>
      <c r="Q389" s="37"/>
      <c r="R389" s="37"/>
      <c r="S389" s="37"/>
    </row>
    <row r="390" spans="1:38">
      <c r="B390" s="3"/>
      <c r="E390" s="37"/>
      <c r="F390" s="37" t="s">
        <v>292</v>
      </c>
      <c r="G390" s="37"/>
      <c r="I390" s="57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0"/>
      <c r="G393" s="340"/>
      <c r="H393" s="340"/>
      <c r="I393" s="340"/>
      <c r="J393" s="340"/>
      <c r="K393" s="340"/>
      <c r="L393" s="340"/>
      <c r="M393" s="340"/>
      <c r="N393" s="340"/>
      <c r="O393" s="340"/>
      <c r="P393" s="340"/>
      <c r="Q393" s="340"/>
      <c r="R393" s="340"/>
      <c r="S393" s="340"/>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0"/>
      <c r="G408" s="340"/>
      <c r="H408" s="340"/>
      <c r="I408" s="340"/>
      <c r="J408" s="340"/>
      <c r="K408" s="340"/>
      <c r="L408" s="340"/>
      <c r="M408" s="340"/>
      <c r="N408" s="340"/>
      <c r="O408" s="340"/>
      <c r="P408" s="340"/>
      <c r="Q408" s="340"/>
      <c r="R408" s="340"/>
      <c r="S408" s="340"/>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83" workbookViewId="0">
      <selection activeCell="O78" sqref="O78"/>
    </sheetView>
  </sheetViews>
  <sheetFormatPr defaultColWidth="0" defaultRowHeight="15" customHeight="1"/>
  <cols>
    <col min="1" max="1" width="3.44140625" style="296" customWidth="1"/>
    <col min="2" max="4" width="17.44140625" style="296" customWidth="1"/>
    <col min="5" max="5" width="15.44140625" style="296" customWidth="1"/>
    <col min="6" max="6" width="2.44140625" style="296" customWidth="1"/>
    <col min="7" max="7" width="14.44140625" style="296" customWidth="1"/>
    <col min="8" max="9" width="2.44140625" style="296" customWidth="1"/>
    <col min="10" max="10" width="3.44140625" style="296" customWidth="1"/>
    <col min="11" max="14" width="2.44140625" style="296" customWidth="1"/>
    <col min="15" max="15" width="43.71875" style="296" customWidth="1"/>
    <col min="16" max="16" width="7.44140625" style="296" customWidth="1"/>
    <col min="17" max="17" width="3.44140625" style="296" customWidth="1"/>
    <col min="18" max="19" width="10.44140625" style="296" customWidth="1"/>
    <col min="20" max="29" width="0" style="296" hidden="1" customWidth="1"/>
    <col min="30" max="16384" width="8.71875" style="296" hidden="1"/>
  </cols>
  <sheetData>
    <row r="1" spans="1:19" ht="15" customHeight="1">
      <c r="A1" s="1844" t="s">
        <v>2335</v>
      </c>
      <c r="B1" s="1844"/>
      <c r="C1" s="1844"/>
      <c r="D1" s="1844"/>
      <c r="E1" s="1844"/>
      <c r="F1" s="1844"/>
      <c r="G1" s="1844"/>
      <c r="H1" s="1844"/>
      <c r="I1" s="1844"/>
      <c r="J1" s="1844"/>
      <c r="K1" s="1844"/>
      <c r="L1" s="1844"/>
      <c r="M1" s="1844"/>
      <c r="N1" s="1844"/>
      <c r="O1" s="1844"/>
      <c r="P1" s="1844"/>
      <c r="Q1" s="1844"/>
      <c r="R1" s="1844"/>
      <c r="S1" s="1844"/>
    </row>
    <row r="2" spans="1:19" ht="15" customHeight="1">
      <c r="A2" s="1844"/>
      <c r="B2" s="1844"/>
      <c r="C2" s="1844"/>
      <c r="D2" s="1844"/>
      <c r="E2" s="1844"/>
      <c r="F2" s="1844"/>
      <c r="G2" s="1844"/>
      <c r="H2" s="1844"/>
      <c r="I2" s="1844"/>
      <c r="J2" s="1844"/>
      <c r="K2" s="1844"/>
      <c r="L2" s="1844"/>
      <c r="M2" s="1844"/>
      <c r="N2" s="1844"/>
      <c r="O2" s="1844"/>
      <c r="P2" s="1844"/>
      <c r="Q2" s="1844"/>
      <c r="R2" s="1844"/>
      <c r="S2" s="1844"/>
    </row>
    <row r="3" spans="1:19" ht="15" customHeight="1">
      <c r="A3" s="432"/>
      <c r="B3" s="432"/>
      <c r="C3" s="432"/>
      <c r="D3" s="432"/>
      <c r="E3" s="432"/>
      <c r="F3" s="432"/>
      <c r="G3" s="432"/>
      <c r="H3" s="432"/>
      <c r="I3" s="432"/>
      <c r="J3" s="432"/>
      <c r="K3" s="432"/>
      <c r="L3" s="432"/>
      <c r="M3" s="432"/>
      <c r="N3" s="432"/>
      <c r="O3" s="432"/>
      <c r="P3" s="432"/>
      <c r="Q3" s="432"/>
      <c r="R3" s="432"/>
    </row>
    <row r="4" spans="1:19" ht="15" customHeight="1">
      <c r="A4" s="432"/>
      <c r="B4" s="1827" t="s">
        <v>2336</v>
      </c>
      <c r="C4" s="1827"/>
      <c r="D4" s="1827"/>
      <c r="E4" s="1827"/>
      <c r="F4" s="1827"/>
      <c r="G4" s="1827"/>
      <c r="H4" s="1827"/>
      <c r="I4" s="1827"/>
      <c r="J4" s="1827"/>
      <c r="K4" s="1827"/>
      <c r="L4" s="1827"/>
      <c r="M4" s="1827"/>
      <c r="N4" s="1827"/>
      <c r="O4" s="1827"/>
      <c r="P4" s="1827"/>
      <c r="Q4" s="1827"/>
      <c r="R4" s="1827"/>
    </row>
    <row r="5" spans="1:19" ht="15" customHeight="1">
      <c r="A5" s="432"/>
      <c r="B5" s="1827"/>
      <c r="C5" s="1827"/>
      <c r="D5" s="1827"/>
      <c r="E5" s="1827"/>
      <c r="F5" s="1827"/>
      <c r="G5" s="1827"/>
      <c r="H5" s="1827"/>
      <c r="I5" s="1827"/>
      <c r="J5" s="1827"/>
      <c r="K5" s="1827"/>
      <c r="L5" s="1827"/>
      <c r="M5" s="1827"/>
      <c r="N5" s="1827"/>
      <c r="O5" s="1827"/>
      <c r="P5" s="1827"/>
      <c r="Q5" s="1827"/>
      <c r="R5" s="1827"/>
    </row>
    <row r="6" spans="1:19" ht="15" customHeight="1">
      <c r="A6" s="432"/>
      <c r="B6" s="1827"/>
      <c r="C6" s="1827"/>
      <c r="D6" s="1827"/>
      <c r="E6" s="1827"/>
      <c r="F6" s="1827"/>
      <c r="G6" s="1827"/>
      <c r="H6" s="1827"/>
      <c r="I6" s="1827"/>
      <c r="J6" s="1827"/>
      <c r="K6" s="1827"/>
      <c r="L6" s="1827"/>
      <c r="M6" s="1827"/>
      <c r="N6" s="1827"/>
      <c r="O6" s="1827"/>
      <c r="P6" s="1827"/>
      <c r="Q6" s="1827"/>
      <c r="R6" s="1827"/>
    </row>
    <row r="7" spans="1:19" ht="15" customHeight="1">
      <c r="A7" s="432"/>
      <c r="B7" s="567"/>
      <c r="C7" s="567"/>
      <c r="D7" s="567"/>
      <c r="E7" s="567"/>
      <c r="F7" s="567"/>
      <c r="G7" s="567"/>
      <c r="H7" s="567"/>
      <c r="I7" s="567"/>
      <c r="J7" s="567"/>
      <c r="K7" s="567"/>
      <c r="L7" s="567"/>
      <c r="M7" s="567"/>
      <c r="N7" s="567"/>
      <c r="O7" s="567"/>
      <c r="P7" s="567"/>
      <c r="Q7" s="567"/>
      <c r="R7" s="567"/>
    </row>
    <row r="8" spans="1:19" ht="15" customHeight="1">
      <c r="A8" s="432"/>
      <c r="B8" s="1827" t="s">
        <v>2337</v>
      </c>
      <c r="C8" s="1827"/>
      <c r="D8" s="1827"/>
      <c r="E8" s="1827"/>
      <c r="F8" s="1827"/>
      <c r="G8" s="1827"/>
      <c r="H8" s="1827"/>
      <c r="I8" s="1827"/>
      <c r="J8" s="1827"/>
      <c r="K8" s="1827"/>
      <c r="L8" s="1827"/>
      <c r="M8" s="1827"/>
      <c r="N8" s="1827"/>
      <c r="O8" s="1827"/>
      <c r="P8" s="1827"/>
      <c r="Q8" s="1827"/>
      <c r="R8" s="1827"/>
    </row>
    <row r="9" spans="1:19" ht="15" customHeight="1">
      <c r="A9" s="432"/>
      <c r="B9" s="313"/>
      <c r="C9" s="432"/>
      <c r="D9" s="432"/>
      <c r="E9" s="432"/>
      <c r="F9" s="432"/>
      <c r="G9" s="432"/>
      <c r="H9" s="432"/>
      <c r="I9" s="432"/>
      <c r="J9" s="432"/>
      <c r="K9" s="432"/>
      <c r="L9" s="432"/>
      <c r="M9" s="432"/>
      <c r="N9" s="432"/>
      <c r="O9" s="432"/>
      <c r="P9" s="432"/>
      <c r="Q9" s="432"/>
      <c r="R9" s="432"/>
    </row>
    <row r="10" spans="1:19" ht="15" customHeight="1">
      <c r="A10" s="432"/>
      <c r="B10" s="1827" t="s">
        <v>2338</v>
      </c>
      <c r="C10" s="1827"/>
      <c r="D10" s="1827"/>
      <c r="E10" s="1827"/>
      <c r="F10" s="1827"/>
      <c r="G10" s="1827"/>
      <c r="H10" s="1827"/>
      <c r="I10" s="1827"/>
      <c r="J10" s="1827"/>
      <c r="K10" s="1827"/>
      <c r="L10" s="1827"/>
      <c r="M10" s="1827"/>
      <c r="N10" s="1827"/>
      <c r="O10" s="1827"/>
      <c r="P10" s="1827"/>
      <c r="Q10" s="1827"/>
      <c r="R10" s="1827"/>
    </row>
    <row r="11" spans="1:19" ht="29.25" customHeight="1">
      <c r="A11" s="432"/>
      <c r="B11" s="1827"/>
      <c r="C11" s="1827"/>
      <c r="D11" s="1827"/>
      <c r="E11" s="1827"/>
      <c r="F11" s="1827"/>
      <c r="G11" s="1827"/>
      <c r="H11" s="1827"/>
      <c r="I11" s="1827"/>
      <c r="J11" s="1827"/>
      <c r="K11" s="1827"/>
      <c r="L11" s="1827"/>
      <c r="M11" s="1827"/>
      <c r="N11" s="1827"/>
      <c r="O11" s="1827"/>
      <c r="P11" s="1827"/>
      <c r="Q11" s="1827"/>
      <c r="R11" s="1827"/>
    </row>
    <row r="12" spans="1:19" ht="15" customHeight="1">
      <c r="A12" s="432"/>
      <c r="B12" s="567"/>
      <c r="C12" s="567"/>
      <c r="D12" s="567"/>
      <c r="E12" s="567"/>
      <c r="F12" s="567"/>
      <c r="G12" s="567"/>
      <c r="H12" s="567"/>
      <c r="I12" s="567"/>
      <c r="J12" s="567"/>
      <c r="K12" s="567"/>
      <c r="L12" s="567"/>
      <c r="M12" s="567"/>
      <c r="N12" s="567"/>
      <c r="O12" s="567"/>
      <c r="P12" s="567"/>
      <c r="Q12" s="567"/>
      <c r="R12" s="567"/>
    </row>
    <row r="13" spans="1:19" ht="15" customHeight="1">
      <c r="A13" s="432"/>
      <c r="B13" s="1827" t="s">
        <v>2339</v>
      </c>
      <c r="C13" s="1827"/>
      <c r="D13" s="1827"/>
      <c r="E13" s="1827"/>
      <c r="F13" s="1827"/>
      <c r="G13" s="1827"/>
      <c r="H13" s="1827"/>
      <c r="I13" s="1827"/>
      <c r="J13" s="1827"/>
      <c r="K13" s="1827"/>
      <c r="L13" s="1827"/>
      <c r="M13" s="1827"/>
      <c r="N13" s="1827"/>
      <c r="O13" s="1827"/>
      <c r="P13" s="1827"/>
      <c r="Q13" s="1827"/>
      <c r="R13" s="1827"/>
    </row>
    <row r="14" spans="1:19" ht="15" customHeight="1">
      <c r="A14" s="432"/>
      <c r="B14" s="1827"/>
      <c r="C14" s="1827"/>
      <c r="D14" s="1827"/>
      <c r="E14" s="1827"/>
      <c r="F14" s="1827"/>
      <c r="G14" s="1827"/>
      <c r="H14" s="1827"/>
      <c r="I14" s="1827"/>
      <c r="J14" s="1827"/>
      <c r="K14" s="1827"/>
      <c r="L14" s="1827"/>
      <c r="M14" s="1827"/>
      <c r="N14" s="1827"/>
      <c r="O14" s="1827"/>
      <c r="P14" s="1827"/>
      <c r="Q14" s="1827"/>
      <c r="R14" s="1827"/>
    </row>
    <row r="15" spans="1:19" ht="15" customHeight="1">
      <c r="A15" s="432"/>
      <c r="B15" s="1827"/>
      <c r="C15" s="1827"/>
      <c r="D15" s="1827"/>
      <c r="E15" s="1827"/>
      <c r="F15" s="1827"/>
      <c r="G15" s="1827"/>
      <c r="H15" s="1827"/>
      <c r="I15" s="1827"/>
      <c r="J15" s="1827"/>
      <c r="K15" s="1827"/>
      <c r="L15" s="1827"/>
      <c r="M15" s="1827"/>
      <c r="N15" s="1827"/>
      <c r="O15" s="1827"/>
      <c r="P15" s="1827"/>
      <c r="Q15" s="1827"/>
      <c r="R15" s="1827"/>
    </row>
    <row r="16" spans="1:19" ht="15" customHeight="1">
      <c r="A16" s="432"/>
      <c r="B16" s="1827"/>
      <c r="C16" s="1827"/>
      <c r="D16" s="1827"/>
      <c r="E16" s="1827"/>
      <c r="F16" s="1827"/>
      <c r="G16" s="1827"/>
      <c r="H16" s="1827"/>
      <c r="I16" s="1827"/>
      <c r="J16" s="1827"/>
      <c r="K16" s="1827"/>
      <c r="L16" s="1827"/>
      <c r="M16" s="1827"/>
      <c r="N16" s="1827"/>
      <c r="O16" s="1827"/>
      <c r="P16" s="1827"/>
      <c r="Q16" s="1827"/>
      <c r="R16" s="1827"/>
    </row>
    <row r="17" spans="1:18" ht="15" customHeight="1">
      <c r="A17" s="432"/>
      <c r="B17" s="1827"/>
      <c r="C17" s="1827"/>
      <c r="D17" s="1827"/>
      <c r="E17" s="1827"/>
      <c r="F17" s="1827"/>
      <c r="G17" s="1827"/>
      <c r="H17" s="1827"/>
      <c r="I17" s="1827"/>
      <c r="J17" s="1827"/>
      <c r="K17" s="1827"/>
      <c r="L17" s="1827"/>
      <c r="M17" s="1827"/>
      <c r="N17" s="1827"/>
      <c r="O17" s="1827"/>
      <c r="P17" s="1827"/>
      <c r="Q17" s="1827"/>
      <c r="R17" s="1827"/>
    </row>
    <row r="18" spans="1:18" ht="15" customHeight="1">
      <c r="A18" s="432"/>
      <c r="B18" s="313"/>
      <c r="C18" s="432"/>
      <c r="D18" s="432"/>
      <c r="E18" s="432"/>
      <c r="F18" s="432"/>
      <c r="G18" s="432"/>
      <c r="H18" s="432"/>
      <c r="I18" s="432"/>
      <c r="J18" s="432"/>
      <c r="K18" s="432"/>
      <c r="L18" s="432"/>
      <c r="M18" s="432"/>
      <c r="N18" s="432"/>
      <c r="O18" s="432"/>
      <c r="P18" s="432"/>
      <c r="Q18" s="432"/>
      <c r="R18" s="432"/>
    </row>
    <row r="19" spans="1:18" ht="15" customHeight="1">
      <c r="A19" s="432"/>
      <c r="B19" s="1827" t="s">
        <v>2340</v>
      </c>
      <c r="C19" s="1827"/>
      <c r="D19" s="1827"/>
      <c r="E19" s="1827"/>
      <c r="F19" s="1827"/>
      <c r="G19" s="1827"/>
      <c r="H19" s="1827"/>
      <c r="I19" s="1827"/>
      <c r="J19" s="1827"/>
      <c r="K19" s="1827"/>
      <c r="L19" s="1827"/>
      <c r="M19" s="1827"/>
      <c r="N19" s="1827"/>
      <c r="O19" s="1827"/>
      <c r="P19" s="1827"/>
      <c r="Q19" s="1827"/>
      <c r="R19" s="1827"/>
    </row>
    <row r="20" spans="1:18" ht="15" customHeight="1">
      <c r="A20" s="432"/>
      <c r="B20" s="1827"/>
      <c r="C20" s="1827"/>
      <c r="D20" s="1827"/>
      <c r="E20" s="1827"/>
      <c r="F20" s="1827"/>
      <c r="G20" s="1827"/>
      <c r="H20" s="1827"/>
      <c r="I20" s="1827"/>
      <c r="J20" s="1827"/>
      <c r="K20" s="1827"/>
      <c r="L20" s="1827"/>
      <c r="M20" s="1827"/>
      <c r="N20" s="1827"/>
      <c r="O20" s="1827"/>
      <c r="P20" s="1827"/>
      <c r="Q20" s="1827"/>
      <c r="R20" s="1827"/>
    </row>
    <row r="21" spans="1:18" ht="15" customHeight="1">
      <c r="A21" s="432"/>
      <c r="B21" s="1827"/>
      <c r="C21" s="1827"/>
      <c r="D21" s="1827"/>
      <c r="E21" s="1827"/>
      <c r="F21" s="1827"/>
      <c r="G21" s="1827"/>
      <c r="H21" s="1827"/>
      <c r="I21" s="1827"/>
      <c r="J21" s="1827"/>
      <c r="K21" s="1827"/>
      <c r="L21" s="1827"/>
      <c r="M21" s="1827"/>
      <c r="N21" s="1827"/>
      <c r="O21" s="1827"/>
      <c r="P21" s="1827"/>
      <c r="Q21" s="1827"/>
      <c r="R21" s="1827"/>
    </row>
    <row r="22" spans="1:18" ht="15" customHeight="1">
      <c r="A22" s="432"/>
      <c r="B22" s="567"/>
      <c r="C22" s="567"/>
      <c r="D22" s="567"/>
      <c r="E22" s="567"/>
      <c r="F22" s="567"/>
      <c r="G22" s="567"/>
      <c r="H22" s="567"/>
      <c r="I22" s="567"/>
      <c r="J22" s="567"/>
      <c r="K22" s="567"/>
      <c r="L22" s="567"/>
      <c r="M22" s="567"/>
      <c r="N22" s="567"/>
      <c r="O22" s="567"/>
      <c r="P22" s="567"/>
      <c r="Q22" s="567"/>
      <c r="R22" s="567"/>
    </row>
    <row r="23" spans="1:18" ht="15" customHeight="1">
      <c r="A23" s="432"/>
      <c r="B23" s="1827" t="s">
        <v>2341</v>
      </c>
      <c r="C23" s="1827"/>
      <c r="D23" s="1827"/>
      <c r="E23" s="1827"/>
      <c r="F23" s="1827"/>
      <c r="G23" s="1827"/>
      <c r="H23" s="1827"/>
      <c r="I23" s="1827"/>
      <c r="J23" s="1827"/>
      <c r="K23" s="1827"/>
      <c r="L23" s="1827"/>
      <c r="M23" s="1827"/>
      <c r="N23" s="1827"/>
      <c r="O23" s="1827"/>
      <c r="P23" s="1827"/>
      <c r="Q23" s="1827"/>
      <c r="R23" s="1827"/>
    </row>
    <row r="24" spans="1:18" ht="15" customHeight="1">
      <c r="B24" s="1827"/>
      <c r="C24" s="1827"/>
      <c r="D24" s="1827"/>
      <c r="E24" s="1827"/>
      <c r="F24" s="1827"/>
      <c r="G24" s="1827"/>
      <c r="H24" s="1827"/>
      <c r="I24" s="1827"/>
      <c r="J24" s="1827"/>
      <c r="K24" s="1827"/>
      <c r="L24" s="1827"/>
      <c r="M24" s="1827"/>
      <c r="N24" s="1827"/>
      <c r="O24" s="1827"/>
      <c r="P24" s="1827"/>
      <c r="Q24" s="1827"/>
      <c r="R24" s="1827"/>
    </row>
    <row r="25" spans="1:18" ht="15" customHeight="1">
      <c r="B25" s="567"/>
      <c r="C25" s="567"/>
      <c r="D25" s="567"/>
      <c r="E25" s="567"/>
      <c r="F25" s="567"/>
      <c r="G25" s="567"/>
      <c r="H25" s="567"/>
      <c r="I25" s="567"/>
      <c r="J25" s="567"/>
      <c r="K25" s="567"/>
      <c r="L25" s="567"/>
      <c r="M25" s="567"/>
      <c r="N25" s="567"/>
      <c r="O25" s="567"/>
      <c r="P25" s="567"/>
      <c r="Q25" s="567"/>
      <c r="R25" s="567"/>
    </row>
    <row r="26" spans="1:18" ht="15" customHeight="1">
      <c r="B26" s="1827" t="s">
        <v>2342</v>
      </c>
      <c r="C26" s="1827"/>
      <c r="D26" s="1827"/>
      <c r="E26" s="1827"/>
      <c r="F26" s="1827"/>
      <c r="G26" s="1827"/>
      <c r="H26" s="1827"/>
      <c r="I26" s="1827"/>
      <c r="J26" s="1827"/>
      <c r="K26" s="1827"/>
      <c r="L26" s="1827"/>
      <c r="M26" s="1827"/>
      <c r="N26" s="1827"/>
      <c r="O26" s="1827"/>
      <c r="P26" s="1827"/>
      <c r="Q26" s="1827"/>
      <c r="R26" s="1827"/>
    </row>
    <row r="27" spans="1:18" ht="15" customHeight="1">
      <c r="B27" s="567"/>
      <c r="C27" s="567"/>
      <c r="D27" s="567"/>
      <c r="E27" s="567"/>
      <c r="F27" s="567"/>
      <c r="G27" s="567"/>
      <c r="H27" s="567"/>
      <c r="I27" s="567"/>
      <c r="J27" s="567"/>
      <c r="K27" s="567"/>
      <c r="L27" s="567"/>
      <c r="M27" s="567"/>
      <c r="N27" s="567"/>
      <c r="O27" s="567"/>
      <c r="P27" s="567"/>
      <c r="Q27" s="567"/>
      <c r="R27" s="567"/>
    </row>
    <row r="28" spans="1:18" ht="15" customHeight="1">
      <c r="B28" s="433" t="s">
        <v>2343</v>
      </c>
    </row>
    <row r="29" spans="1:18" ht="15" customHeight="1">
      <c r="B29" s="1849" t="s">
        <v>2344</v>
      </c>
      <c r="C29" s="1849"/>
      <c r="D29" s="1849"/>
      <c r="E29" s="1849"/>
      <c r="F29" s="1849"/>
      <c r="G29" s="1849"/>
      <c r="H29" s="306"/>
      <c r="I29" s="306"/>
      <c r="J29" s="306"/>
      <c r="K29" s="306"/>
      <c r="L29" s="306"/>
      <c r="M29" s="306"/>
      <c r="N29" s="306"/>
      <c r="O29" s="1847" t="s">
        <v>2345</v>
      </c>
    </row>
    <row r="30" spans="1:18" ht="15" customHeight="1">
      <c r="B30" s="1849"/>
      <c r="C30" s="1849"/>
      <c r="D30" s="1849"/>
      <c r="E30" s="1849"/>
      <c r="F30" s="1849"/>
      <c r="G30" s="1849"/>
      <c r="H30" s="306"/>
      <c r="I30" s="306"/>
      <c r="J30" s="306"/>
      <c r="K30" s="306"/>
      <c r="L30" s="306"/>
      <c r="M30" s="306"/>
      <c r="N30" s="306"/>
      <c r="O30" s="1847"/>
    </row>
    <row r="31" spans="1:18" ht="15" customHeight="1">
      <c r="B31" s="1849"/>
      <c r="C31" s="1849"/>
      <c r="D31" s="1849"/>
      <c r="E31" s="1849"/>
      <c r="F31" s="1849"/>
      <c r="G31" s="1849"/>
      <c r="H31" s="306"/>
      <c r="I31" s="306"/>
      <c r="J31" s="306"/>
      <c r="K31" s="306"/>
      <c r="L31" s="306"/>
      <c r="M31" s="306"/>
      <c r="N31" s="306"/>
      <c r="O31" s="1847"/>
    </row>
    <row r="32" spans="1:18" ht="15" customHeight="1">
      <c r="B32" s="1850"/>
      <c r="C32" s="1850"/>
      <c r="D32" s="1850"/>
      <c r="E32" s="1850"/>
      <c r="F32" s="1850"/>
      <c r="G32" s="1850"/>
      <c r="I32" s="1815" t="s">
        <v>2346</v>
      </c>
      <c r="J32" s="1816" t="s">
        <v>2347</v>
      </c>
      <c r="K32" s="1851">
        <v>1</v>
      </c>
      <c r="M32" s="434"/>
      <c r="O32" s="1848"/>
      <c r="P32" s="1816" t="s">
        <v>2348</v>
      </c>
    </row>
    <row r="33" spans="1:18" ht="15" customHeight="1">
      <c r="B33" s="1814" t="s">
        <v>2349</v>
      </c>
      <c r="C33" s="1814"/>
      <c r="D33" s="1814"/>
      <c r="E33" s="1814"/>
      <c r="F33" s="1814"/>
      <c r="G33" s="1814"/>
      <c r="I33" s="1815"/>
      <c r="J33" s="1816"/>
      <c r="K33" s="1851"/>
      <c r="M33" s="435"/>
      <c r="O33" s="1814" t="s">
        <v>2349</v>
      </c>
      <c r="P33" s="1816"/>
    </row>
    <row r="34" spans="1:18" ht="15" customHeight="1">
      <c r="B34" s="1815"/>
      <c r="C34" s="1815"/>
      <c r="D34" s="1815"/>
      <c r="E34" s="1815"/>
      <c r="F34" s="1815"/>
      <c r="G34" s="1815"/>
      <c r="I34" s="566"/>
      <c r="J34" s="565"/>
      <c r="K34" s="452"/>
      <c r="M34" s="435"/>
      <c r="O34" s="1815"/>
      <c r="P34" s="565"/>
    </row>
    <row r="35" spans="1:18" ht="15" customHeight="1">
      <c r="B35" s="436"/>
      <c r="C35" s="436"/>
      <c r="D35" s="436"/>
      <c r="E35" s="436"/>
      <c r="F35" s="436"/>
      <c r="G35" s="436"/>
      <c r="H35" s="325"/>
      <c r="I35" s="437"/>
      <c r="J35" s="438"/>
      <c r="K35" s="439"/>
      <c r="L35" s="325"/>
      <c r="M35" s="434"/>
      <c r="N35" s="325"/>
      <c r="O35" s="436"/>
      <c r="P35" s="438"/>
      <c r="Q35" s="325"/>
      <c r="R35" s="325"/>
    </row>
    <row r="36" spans="1:18" ht="15" customHeight="1">
      <c r="B36" s="464"/>
      <c r="C36" s="464"/>
      <c r="D36" s="464"/>
      <c r="E36" s="464"/>
      <c r="F36" s="464"/>
      <c r="G36" s="464"/>
      <c r="I36" s="566"/>
      <c r="J36" s="565"/>
      <c r="K36" s="452"/>
      <c r="M36" s="435"/>
      <c r="O36" s="464"/>
      <c r="P36" s="565"/>
    </row>
    <row r="37" spans="1:18" ht="15" customHeight="1">
      <c r="A37" s="440"/>
      <c r="B37" s="1836" t="s">
        <v>2350</v>
      </c>
      <c r="C37" s="1836"/>
      <c r="D37" s="1836"/>
      <c r="E37" s="1836"/>
      <c r="F37" s="441"/>
      <c r="G37" s="441"/>
      <c r="H37" s="442"/>
      <c r="I37" s="306"/>
      <c r="J37" s="306"/>
      <c r="Q37" s="306"/>
      <c r="R37" s="306"/>
    </row>
    <row r="38" spans="1:18" ht="15" customHeight="1">
      <c r="B38" s="1830" t="s">
        <v>2351</v>
      </c>
      <c r="C38" s="1830"/>
      <c r="D38" s="1830"/>
      <c r="E38" s="1830"/>
      <c r="F38" s="568"/>
      <c r="G38" s="443">
        <f>D110</f>
        <v>3058928.0905854646</v>
      </c>
      <c r="H38" s="314"/>
      <c r="I38" s="444"/>
      <c r="J38" s="314"/>
      <c r="L38" s="694"/>
      <c r="M38" s="694"/>
      <c r="N38" s="694"/>
      <c r="O38" s="694"/>
      <c r="Q38" s="1813"/>
      <c r="R38" s="1813"/>
    </row>
    <row r="39" spans="1:18" ht="15" customHeight="1">
      <c r="B39" s="1841" t="s">
        <v>2352</v>
      </c>
      <c r="C39" s="1841"/>
      <c r="D39" s="1841"/>
      <c r="E39" s="1841"/>
      <c r="F39" s="568"/>
      <c r="G39" s="551"/>
      <c r="H39" s="314"/>
      <c r="I39" s="444"/>
      <c r="J39" s="314"/>
      <c r="L39" s="314"/>
      <c r="M39" s="306"/>
      <c r="N39" s="306"/>
      <c r="O39" s="306"/>
      <c r="Q39" s="445"/>
      <c r="R39" s="445"/>
    </row>
    <row r="40" spans="1:18" ht="15" customHeight="1">
      <c r="B40" s="1841" t="s">
        <v>2353</v>
      </c>
      <c r="C40" s="1841"/>
      <c r="D40" s="1841"/>
      <c r="E40" s="1841"/>
      <c r="F40" s="568"/>
      <c r="G40" s="551"/>
      <c r="H40" s="314"/>
      <c r="I40" s="444"/>
      <c r="J40" s="314"/>
      <c r="K40" s="1843"/>
      <c r="L40" s="1843"/>
      <c r="M40" s="1843"/>
      <c r="N40" s="1843"/>
      <c r="O40" s="1843"/>
      <c r="Q40" s="1813"/>
      <c r="R40" s="1813"/>
    </row>
    <row r="41" spans="1:18" ht="15" customHeight="1">
      <c r="B41" s="1842" t="s">
        <v>2354</v>
      </c>
      <c r="C41" s="1842"/>
      <c r="D41" s="1842"/>
      <c r="E41" s="1842"/>
      <c r="F41" s="568"/>
      <c r="G41" s="314"/>
      <c r="H41" s="314"/>
      <c r="I41" s="444"/>
      <c r="J41" s="314"/>
      <c r="K41" s="314"/>
      <c r="L41" s="314"/>
      <c r="M41" s="306"/>
      <c r="N41" s="306"/>
      <c r="O41" s="306"/>
      <c r="Q41" s="445"/>
      <c r="R41" s="445"/>
    </row>
    <row r="42" spans="1:18" ht="15" customHeight="1">
      <c r="B42" s="553" t="s">
        <v>1579</v>
      </c>
      <c r="C42" s="553"/>
      <c r="D42" s="547"/>
      <c r="E42" s="570">
        <f>+Application!AM547</f>
        <v>3080000</v>
      </c>
      <c r="F42" s="568"/>
      <c r="G42" s="314"/>
      <c r="H42" s="314"/>
      <c r="I42" s="444"/>
      <c r="J42" s="314"/>
      <c r="K42" s="1843"/>
      <c r="L42" s="1843"/>
      <c r="M42" s="1843"/>
      <c r="N42" s="1843"/>
      <c r="O42" s="1843"/>
      <c r="Q42" s="1813"/>
      <c r="R42" s="1813"/>
    </row>
    <row r="43" spans="1:18" ht="15" customHeight="1">
      <c r="B43" s="553"/>
      <c r="C43" s="553"/>
      <c r="D43" s="429"/>
      <c r="E43" s="570"/>
      <c r="F43" s="568"/>
      <c r="G43" s="314"/>
      <c r="H43" s="314"/>
      <c r="I43" s="444"/>
      <c r="J43" s="314"/>
      <c r="L43" s="314"/>
      <c r="M43" s="306"/>
      <c r="N43" s="306"/>
      <c r="O43" s="306"/>
      <c r="Q43" s="445"/>
      <c r="R43" s="445"/>
    </row>
    <row r="44" spans="1:18" ht="15" customHeight="1">
      <c r="B44" s="553"/>
      <c r="C44" s="553"/>
      <c r="D44" s="429"/>
      <c r="E44" s="570"/>
      <c r="F44" s="568"/>
      <c r="G44" s="314"/>
      <c r="H44" s="314"/>
      <c r="I44" s="444"/>
      <c r="K44" s="313" t="s">
        <v>2355</v>
      </c>
      <c r="Q44" s="1813"/>
      <c r="R44" s="1813"/>
    </row>
    <row r="45" spans="1:18" ht="15" customHeight="1">
      <c r="B45" s="553"/>
      <c r="C45" s="553"/>
      <c r="D45" s="429"/>
      <c r="E45" s="570"/>
      <c r="F45" s="568"/>
      <c r="G45" s="314"/>
      <c r="H45" s="314"/>
      <c r="I45" s="444"/>
      <c r="K45" s="318" t="s">
        <v>2356</v>
      </c>
      <c r="L45" s="318"/>
      <c r="M45" s="314"/>
      <c r="N45" s="314"/>
      <c r="O45" s="314"/>
      <c r="P45" s="314"/>
    </row>
    <row r="46" spans="1:18" ht="15" customHeight="1">
      <c r="B46" s="553"/>
      <c r="C46" s="553"/>
      <c r="D46" s="429"/>
      <c r="E46" s="570"/>
      <c r="F46" s="568"/>
      <c r="G46" s="314"/>
      <c r="H46" s="314"/>
      <c r="I46" s="444"/>
      <c r="J46" s="314"/>
      <c r="K46" s="1819" t="s">
        <v>2357</v>
      </c>
      <c r="L46" s="1819"/>
      <c r="M46" s="1819"/>
      <c r="N46" s="1819"/>
      <c r="O46" s="1819"/>
      <c r="Q46" s="1817"/>
      <c r="R46" s="1817"/>
    </row>
    <row r="47" spans="1:18" ht="15" customHeight="1">
      <c r="B47" s="553"/>
      <c r="C47" s="553"/>
      <c r="D47" s="429"/>
      <c r="E47" s="570"/>
      <c r="F47" s="568"/>
      <c r="G47" s="314"/>
      <c r="H47" s="314"/>
      <c r="I47" s="444"/>
      <c r="J47" s="314"/>
      <c r="K47" s="1818" t="s">
        <v>2358</v>
      </c>
      <c r="L47" s="1818"/>
      <c r="M47" s="1818"/>
      <c r="N47" s="1818"/>
      <c r="O47" s="1818"/>
      <c r="Q47" s="1846"/>
      <c r="R47" s="1846"/>
    </row>
    <row r="48" spans="1:18" ht="15" customHeight="1">
      <c r="B48" s="553"/>
      <c r="C48" s="553"/>
      <c r="D48" s="429"/>
      <c r="E48" s="570"/>
      <c r="F48" s="568"/>
      <c r="G48" s="314"/>
      <c r="H48" s="314"/>
      <c r="I48" s="444"/>
      <c r="J48" s="314"/>
      <c r="K48" s="1845" t="s">
        <v>2359</v>
      </c>
      <c r="L48" s="1845"/>
      <c r="M48" s="1845"/>
      <c r="N48" s="1845"/>
      <c r="O48" s="1845"/>
      <c r="Q48" s="1819">
        <f>Q46+Q47</f>
        <v>0</v>
      </c>
      <c r="R48" s="1819"/>
    </row>
    <row r="49" spans="1:29" ht="15" customHeight="1">
      <c r="B49" s="553"/>
      <c r="C49" s="553"/>
      <c r="D49" s="429"/>
      <c r="E49" s="570"/>
      <c r="F49" s="568"/>
      <c r="G49" s="314"/>
      <c r="H49" s="314"/>
      <c r="I49" s="444"/>
      <c r="J49" s="314"/>
    </row>
    <row r="50" spans="1:29" ht="15" customHeight="1">
      <c r="B50" s="549" t="s">
        <v>2360</v>
      </c>
      <c r="C50" s="549"/>
      <c r="D50" s="552"/>
      <c r="E50" s="550">
        <f>MAX(IF('Sources and Uses Budget'!B15="",0,'Sources and Uses Budget'!B15),IF(Application!AG387="",0,Application!AG387))</f>
        <v>0</v>
      </c>
      <c r="F50" s="568"/>
      <c r="G50" s="314"/>
      <c r="H50" s="314"/>
      <c r="I50" s="444"/>
      <c r="J50" s="314"/>
    </row>
    <row r="51" spans="1:29" ht="15" customHeight="1">
      <c r="B51" s="548" t="s">
        <v>2361</v>
      </c>
      <c r="C51" s="548"/>
      <c r="D51" s="552"/>
      <c r="E51" s="550">
        <v>0</v>
      </c>
      <c r="F51" s="568"/>
      <c r="G51" s="314"/>
      <c r="H51" s="314"/>
      <c r="I51" s="444"/>
      <c r="J51" s="314"/>
    </row>
    <row r="52" spans="1:29" ht="15" customHeight="1">
      <c r="B52" s="1830" t="s">
        <v>2362</v>
      </c>
      <c r="C52" s="1830"/>
      <c r="D52" s="1830"/>
      <c r="E52" s="1830"/>
      <c r="F52" s="568"/>
      <c r="G52" s="443">
        <f>SUM(E42:E49)-ABS(E50)-ABS(E51)</f>
        <v>3080000</v>
      </c>
      <c r="H52" s="314"/>
      <c r="I52" s="444"/>
      <c r="J52" s="314"/>
    </row>
    <row r="53" spans="1:29" ht="15" customHeight="1">
      <c r="C53" s="448"/>
      <c r="D53" s="448" t="s">
        <v>1451</v>
      </c>
      <c r="E53" s="448"/>
      <c r="F53" s="448"/>
      <c r="G53" s="449">
        <f>SUM(G38:G40)+G52</f>
        <v>6138928.0905854646</v>
      </c>
      <c r="H53" s="446"/>
      <c r="I53" s="444"/>
      <c r="J53" s="314"/>
      <c r="K53" s="314"/>
      <c r="L53" s="314"/>
    </row>
    <row r="54" spans="1:29" ht="15" customHeight="1">
      <c r="B54" s="450"/>
      <c r="C54" s="450"/>
      <c r="D54" s="450"/>
      <c r="E54" s="450"/>
      <c r="F54" s="450"/>
      <c r="G54" s="450"/>
      <c r="H54" s="325"/>
      <c r="I54" s="447"/>
      <c r="J54" s="447"/>
      <c r="K54" s="447"/>
      <c r="L54" s="447"/>
      <c r="M54" s="447"/>
      <c r="N54" s="447"/>
      <c r="O54" s="325"/>
      <c r="P54" s="325"/>
      <c r="Q54" s="325"/>
      <c r="R54" s="325"/>
    </row>
    <row r="55" spans="1:29" ht="15" customHeight="1">
      <c r="B55" s="568"/>
      <c r="C55" s="568"/>
      <c r="D55" s="568"/>
      <c r="E55" s="568"/>
      <c r="F55" s="568"/>
      <c r="G55" s="568"/>
      <c r="H55" s="568"/>
      <c r="I55" s="568"/>
      <c r="J55" s="568"/>
      <c r="K55" s="568"/>
      <c r="L55" s="568"/>
      <c r="M55" s="568"/>
      <c r="N55" s="568"/>
      <c r="O55" s="568"/>
      <c r="P55" s="568"/>
      <c r="U55" s="661" t="s">
        <v>325</v>
      </c>
      <c r="AC55" s="661" t="s">
        <v>2115</v>
      </c>
    </row>
    <row r="56" spans="1:29" ht="15" customHeight="1">
      <c r="B56" s="1829" t="s">
        <v>2363</v>
      </c>
      <c r="C56" s="1829"/>
      <c r="D56" s="568"/>
      <c r="E56" s="568"/>
      <c r="F56" s="568"/>
      <c r="G56" s="568"/>
      <c r="H56" s="568"/>
      <c r="I56" s="568"/>
      <c r="J56" s="568"/>
      <c r="K56" s="568"/>
      <c r="L56" s="568"/>
      <c r="M56" s="568"/>
      <c r="N56" s="568"/>
      <c r="O56" s="568"/>
      <c r="P56" s="568"/>
      <c r="U56" s="660" t="s">
        <v>2364</v>
      </c>
      <c r="AC56" s="920">
        <v>0.2</v>
      </c>
    </row>
    <row r="57" spans="1:29" ht="15" customHeight="1">
      <c r="A57" s="446"/>
      <c r="B57" s="1828" t="s">
        <v>2365</v>
      </c>
      <c r="C57" s="1828"/>
      <c r="D57" s="1828"/>
      <c r="E57" s="1828"/>
      <c r="F57" s="1828"/>
      <c r="G57" s="1828"/>
      <c r="H57" s="1828"/>
      <c r="I57" s="1828"/>
      <c r="J57" s="1828"/>
      <c r="K57" s="1828"/>
      <c r="L57" s="1828"/>
      <c r="M57" s="1828"/>
      <c r="N57" s="1828"/>
      <c r="O57" s="1828"/>
      <c r="P57" s="568"/>
      <c r="U57" s="660" t="s">
        <v>2366</v>
      </c>
      <c r="AC57" s="920">
        <v>0.1</v>
      </c>
    </row>
    <row r="58" spans="1:29" ht="15" customHeight="1">
      <c r="B58" s="1836" t="s">
        <v>2367</v>
      </c>
      <c r="C58" s="1837"/>
      <c r="D58" s="1837"/>
      <c r="E58" s="1837"/>
      <c r="F58" s="451"/>
      <c r="G58" s="451"/>
      <c r="H58" s="441"/>
      <c r="I58" s="441"/>
      <c r="J58" s="1838">
        <f>('Sources and Uses Budget'!D104+Q47)/('Sources and Uses Budget'!B104+Q48)</f>
        <v>0</v>
      </c>
      <c r="K58" s="1839"/>
      <c r="L58" s="1839"/>
      <c r="M58" s="1839"/>
      <c r="N58" s="1840"/>
      <c r="O58" s="441"/>
      <c r="P58" s="441"/>
      <c r="U58" s="660" t="s">
        <v>2368</v>
      </c>
      <c r="AC58" s="920">
        <v>0.1</v>
      </c>
    </row>
    <row r="59" spans="1:29" ht="15" customHeight="1">
      <c r="B59" s="1827" t="s">
        <v>2369</v>
      </c>
      <c r="C59" s="1827"/>
      <c r="D59" s="1827"/>
      <c r="E59" s="1827"/>
      <c r="F59" s="1827"/>
      <c r="G59" s="1827"/>
      <c r="H59" s="1827"/>
      <c r="I59" s="1827"/>
      <c r="J59" s="1827"/>
      <c r="K59" s="1827"/>
      <c r="L59" s="1827"/>
      <c r="M59" s="1827"/>
      <c r="N59" s="1827"/>
      <c r="O59" s="1827"/>
      <c r="P59" s="441"/>
      <c r="U59" s="660" t="s">
        <v>2370</v>
      </c>
      <c r="AC59" s="920">
        <v>0.05</v>
      </c>
    </row>
    <row r="60" spans="1:29" ht="15" customHeight="1" thickBot="1">
      <c r="B60" s="1827"/>
      <c r="C60" s="1827"/>
      <c r="D60" s="1827"/>
      <c r="E60" s="1827"/>
      <c r="F60" s="1827"/>
      <c r="G60" s="1827"/>
      <c r="H60" s="1827"/>
      <c r="I60" s="1827"/>
      <c r="J60" s="1827"/>
      <c r="K60" s="1827"/>
      <c r="L60" s="1827"/>
      <c r="M60" s="1827"/>
      <c r="N60" s="1827"/>
      <c r="O60" s="1827"/>
      <c r="P60" s="441"/>
      <c r="U60" s="661"/>
      <c r="AC60" s="662"/>
    </row>
    <row r="61" spans="1:29" ht="15" customHeight="1">
      <c r="B61" s="1828" t="s">
        <v>2371</v>
      </c>
      <c r="C61" s="1828"/>
      <c r="D61" s="1828"/>
      <c r="E61" s="1828"/>
      <c r="F61" s="1828"/>
      <c r="G61" s="1828"/>
      <c r="H61" s="1828"/>
      <c r="I61" s="1828"/>
      <c r="J61" s="1828"/>
      <c r="K61" s="1828"/>
      <c r="L61" s="1828"/>
      <c r="M61" s="1828"/>
      <c r="N61" s="1828"/>
      <c r="O61" s="1828"/>
      <c r="P61" s="441"/>
      <c r="U61" s="1852">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853"/>
    </row>
    <row r="63" spans="1:29" ht="15" customHeight="1">
      <c r="B63" s="306"/>
      <c r="C63" s="306"/>
      <c r="D63" s="306"/>
      <c r="E63" s="313"/>
      <c r="F63" s="306"/>
      <c r="G63" s="306"/>
      <c r="H63" s="306"/>
      <c r="I63" s="665"/>
      <c r="J63" s="1832" t="s">
        <v>2372</v>
      </c>
      <c r="K63" s="1833"/>
      <c r="L63" s="1833"/>
      <c r="M63" s="1833"/>
      <c r="N63" s="1833"/>
      <c r="O63" s="1833"/>
      <c r="P63" s="1833"/>
      <c r="Q63" s="1833"/>
      <c r="R63" s="1833"/>
      <c r="U63" s="1852">
        <f>IF(J67="Non-rural project, Census Tract is High Resource (10 percentage points)",AC57,0)</f>
        <v>0</v>
      </c>
    </row>
    <row r="64" spans="1:29" ht="15" customHeight="1" thickBot="1">
      <c r="B64" s="1829" t="s">
        <v>2373</v>
      </c>
      <c r="C64" s="1829"/>
      <c r="D64" s="306"/>
      <c r="F64" s="306"/>
      <c r="G64" s="448" t="s">
        <v>2374</v>
      </c>
      <c r="H64" s="306"/>
      <c r="I64" s="666"/>
      <c r="J64" s="1834"/>
      <c r="K64" s="1835"/>
      <c r="L64" s="1835"/>
      <c r="M64" s="1835"/>
      <c r="N64" s="1835"/>
      <c r="O64" s="1835"/>
      <c r="P64" s="1835"/>
      <c r="Q64" s="1835"/>
      <c r="R64" s="1835"/>
      <c r="U64" s="1853"/>
    </row>
    <row r="65" spans="1:22" ht="15" customHeight="1">
      <c r="B65" s="452" t="s">
        <v>2375</v>
      </c>
      <c r="C65" s="437" t="str">
        <f>IF(Application!M349="Yes","Yes","No")</f>
        <v>Yes</v>
      </c>
      <c r="E65" s="696"/>
      <c r="F65" s="696"/>
      <c r="G65" s="448" t="s">
        <v>2376</v>
      </c>
      <c r="H65" s="306"/>
      <c r="I65" s="666"/>
      <c r="J65" s="1834"/>
      <c r="K65" s="1835"/>
      <c r="L65" s="1835"/>
      <c r="M65" s="1835"/>
      <c r="N65" s="1835"/>
      <c r="O65" s="1835"/>
      <c r="P65" s="1835"/>
      <c r="Q65" s="1835"/>
      <c r="R65" s="1835"/>
      <c r="U65" s="1852">
        <f>IF(J67="Rural project, Census Tract is Highest Resource (10 percentage points)",AC58,0)</f>
        <v>0</v>
      </c>
    </row>
    <row r="66" spans="1:22" ht="15" customHeight="1" thickBot="1">
      <c r="B66" s="453" t="s">
        <v>2377</v>
      </c>
      <c r="C66" s="557">
        <f>Application!AG430-Application!AG431</f>
        <v>44</v>
      </c>
      <c r="D66" s="696"/>
      <c r="E66" s="453" t="s">
        <v>2378</v>
      </c>
      <c r="F66" s="696"/>
      <c r="G66" s="571">
        <v>0</v>
      </c>
      <c r="H66" s="454"/>
      <c r="I66" s="667"/>
      <c r="J66" s="1834"/>
      <c r="K66" s="1835"/>
      <c r="L66" s="1835"/>
      <c r="M66" s="1835"/>
      <c r="N66" s="1835"/>
      <c r="O66" s="1835"/>
      <c r="P66" s="1835"/>
      <c r="Q66" s="1835"/>
      <c r="R66" s="1835"/>
      <c r="U66" s="1853"/>
    </row>
    <row r="67" spans="1:22" ht="15" customHeight="1">
      <c r="B67" s="453" t="s">
        <v>2379</v>
      </c>
      <c r="C67" s="558">
        <f>MIN(IF(AND(C65="Yes",G67&gt;=50),(0.75+(G67/200)),1),1.5)</f>
        <v>1</v>
      </c>
      <c r="D67" s="454"/>
      <c r="E67" s="453" t="s">
        <v>2380</v>
      </c>
      <c r="G67" s="557">
        <f>C66+G66</f>
        <v>44</v>
      </c>
      <c r="H67" s="454"/>
      <c r="I67" s="667"/>
      <c r="J67" s="1831" t="s">
        <v>325</v>
      </c>
      <c r="K67" s="1831"/>
      <c r="L67" s="1831"/>
      <c r="M67" s="1831"/>
      <c r="N67" s="1831"/>
      <c r="O67" s="1831"/>
      <c r="P67" s="1831"/>
      <c r="Q67" s="1831"/>
      <c r="R67" s="1831"/>
      <c r="U67" s="1852">
        <f>IF(J67="Rural project, Census Tract is High Resource (5 percentage points)",AC59,0)</f>
        <v>0</v>
      </c>
    </row>
    <row r="68" spans="1:22" ht="15" customHeight="1" thickBot="1">
      <c r="B68" s="325"/>
      <c r="C68" s="325"/>
      <c r="D68" s="325"/>
      <c r="E68" s="325"/>
      <c r="F68" s="325"/>
      <c r="G68" s="325"/>
      <c r="H68" s="325"/>
      <c r="I68" s="668"/>
      <c r="J68" s="325"/>
      <c r="K68" s="325"/>
      <c r="L68" s="325"/>
      <c r="M68" s="325"/>
      <c r="N68" s="325"/>
      <c r="O68" s="325"/>
      <c r="P68" s="325"/>
      <c r="Q68" s="325"/>
      <c r="R68" s="325"/>
      <c r="U68" s="1853"/>
    </row>
    <row r="69" spans="1:22" ht="15" customHeight="1">
      <c r="U69" s="1856">
        <f>SUM(U61:U68)</f>
        <v>0</v>
      </c>
    </row>
    <row r="70" spans="1:22" ht="15" customHeight="1" thickBot="1">
      <c r="B70" s="433" t="s">
        <v>2381</v>
      </c>
      <c r="C70" s="433"/>
      <c r="D70" s="433"/>
      <c r="E70" s="433"/>
      <c r="F70" s="433"/>
      <c r="G70" s="433"/>
      <c r="U70" s="1857"/>
      <c r="V70" s="303" t="s">
        <v>2382</v>
      </c>
    </row>
    <row r="71" spans="1:22" ht="15" customHeight="1">
      <c r="B71" s="1830" t="s">
        <v>2383</v>
      </c>
      <c r="C71" s="1830"/>
      <c r="D71" s="1830"/>
      <c r="E71" s="433"/>
      <c r="F71" s="433"/>
      <c r="G71" s="443">
        <f>G53*(1-J58)</f>
        <v>6138928.0905854646</v>
      </c>
      <c r="J71" s="455"/>
      <c r="K71" s="600" t="s">
        <v>2345</v>
      </c>
      <c r="L71" s="600"/>
      <c r="M71" s="600"/>
      <c r="N71" s="600"/>
      <c r="O71" s="600"/>
      <c r="Q71" s="1819">
        <f>'Basis &amp; Credits'!T23+'Basis &amp; Credits'!Y23+'Basis &amp; Credits'!AD23+'Basis &amp; Credits'!AI23</f>
        <v>14971971</v>
      </c>
      <c r="R71" s="1819"/>
    </row>
    <row r="72" spans="1:22" ht="15" customHeight="1">
      <c r="B72" s="1821" t="s">
        <v>2384</v>
      </c>
      <c r="C72" s="1821"/>
      <c r="D72" s="1821"/>
      <c r="E72" s="433"/>
      <c r="F72" s="433"/>
      <c r="G72" s="443">
        <f>G71*C67</f>
        <v>6138928.0905854646</v>
      </c>
      <c r="J72" s="455"/>
      <c r="K72" s="568"/>
      <c r="L72" s="568"/>
      <c r="M72" s="568"/>
      <c r="N72" s="568"/>
      <c r="O72" s="568"/>
      <c r="Q72" s="1813"/>
      <c r="R72" s="1813"/>
    </row>
    <row r="73" spans="1:22" ht="15" customHeight="1">
      <c r="B73" s="554"/>
      <c r="C73" s="555"/>
      <c r="D73" s="449"/>
      <c r="E73" s="433"/>
      <c r="F73" s="433"/>
      <c r="G73" s="314"/>
      <c r="J73" s="455"/>
    </row>
    <row r="74" spans="1:22" ht="15" customHeight="1" thickBot="1">
      <c r="B74" s="433"/>
      <c r="C74" s="433"/>
      <c r="D74" s="433"/>
      <c r="E74" s="433"/>
      <c r="F74" s="433"/>
      <c r="G74" s="433"/>
    </row>
    <row r="75" spans="1:22" ht="15" customHeight="1">
      <c r="A75" s="446"/>
      <c r="B75" s="1822">
        <f>$G$72</f>
        <v>6138928.0905854646</v>
      </c>
      <c r="C75" s="1823"/>
      <c r="D75" s="1823"/>
      <c r="E75" s="1823"/>
      <c r="F75" s="1823"/>
      <c r="G75" s="1823"/>
      <c r="H75" s="456"/>
      <c r="I75" s="1815" t="s">
        <v>2346</v>
      </c>
      <c r="J75" s="1816" t="s">
        <v>2347</v>
      </c>
      <c r="K75" s="1815">
        <v>1</v>
      </c>
      <c r="M75" s="325"/>
      <c r="N75" s="435"/>
      <c r="O75" s="573">
        <f>$Q$71</f>
        <v>14971971</v>
      </c>
      <c r="P75" s="1816" t="s">
        <v>2348</v>
      </c>
      <c r="Q75" s="1824" t="s">
        <v>2385</v>
      </c>
      <c r="R75" s="1854">
        <f>((B75/B76)+((1-(O75/O76))/2))+U69</f>
        <v>0.44020784724512696</v>
      </c>
    </row>
    <row r="76" spans="1:22" ht="15" customHeight="1" thickBot="1">
      <c r="B76" s="1825">
        <f>'Sources and Uses Budget'!$C$104+$Q$46-($E$50+$E$51)*(1-$J$58)</f>
        <v>22529000</v>
      </c>
      <c r="C76" s="1826"/>
      <c r="D76" s="1826"/>
      <c r="E76" s="1826"/>
      <c r="F76" s="1826"/>
      <c r="G76" s="1825"/>
      <c r="I76" s="1815"/>
      <c r="J76" s="1816"/>
      <c r="K76" s="1815"/>
      <c r="M76" s="566"/>
      <c r="O76" s="572">
        <f>B76</f>
        <v>22529000</v>
      </c>
      <c r="P76" s="1816"/>
      <c r="Q76" s="1824"/>
      <c r="R76" s="1855"/>
    </row>
    <row r="77" spans="1:22" ht="15" customHeight="1">
      <c r="B77" s="325"/>
      <c r="C77" s="325"/>
      <c r="D77" s="325"/>
      <c r="E77" s="325"/>
      <c r="F77" s="325"/>
      <c r="G77" s="325"/>
      <c r="H77" s="325"/>
      <c r="I77" s="325"/>
      <c r="J77" s="325"/>
      <c r="K77" s="325"/>
      <c r="L77" s="325"/>
      <c r="M77" s="325"/>
      <c r="N77" s="325"/>
      <c r="O77" s="325"/>
      <c r="P77" s="325"/>
      <c r="Q77" s="325"/>
    </row>
    <row r="79" spans="1:22" ht="15" customHeight="1">
      <c r="B79" s="599" t="s">
        <v>2386</v>
      </c>
      <c r="C79" s="306"/>
      <c r="D79" s="306"/>
      <c r="E79" s="306"/>
      <c r="F79" s="306"/>
      <c r="G79" s="306"/>
      <c r="H79" s="306"/>
      <c r="I79" s="306"/>
      <c r="J79" s="306"/>
      <c r="K79" s="306"/>
      <c r="L79" s="306"/>
      <c r="M79" s="306"/>
      <c r="N79" s="306"/>
      <c r="O79" s="306"/>
      <c r="P79" s="306"/>
      <c r="Q79" s="306"/>
      <c r="R79" s="306"/>
    </row>
    <row r="80" spans="1:22" ht="15" customHeight="1">
      <c r="C80" s="599"/>
      <c r="D80" s="599"/>
      <c r="E80" s="599"/>
      <c r="F80" s="599"/>
      <c r="G80" s="599"/>
      <c r="H80" s="599"/>
      <c r="I80" s="599"/>
      <c r="J80" s="599"/>
      <c r="K80" s="599"/>
      <c r="L80" s="599"/>
      <c r="M80" s="599"/>
      <c r="N80" s="599"/>
      <c r="O80" s="599"/>
    </row>
    <row r="81" spans="2:18" ht="15" customHeight="1">
      <c r="B81" s="313" t="s">
        <v>2387</v>
      </c>
      <c r="C81" s="569"/>
      <c r="D81" s="569"/>
      <c r="E81" s="569"/>
      <c r="F81" s="569"/>
      <c r="H81" s="569"/>
      <c r="I81" s="444"/>
      <c r="J81" s="569"/>
      <c r="K81" s="313" t="s">
        <v>2388</v>
      </c>
      <c r="L81" s="569"/>
      <c r="M81" s="569"/>
      <c r="N81" s="569"/>
      <c r="O81" s="569"/>
    </row>
    <row r="82" spans="2:18" ht="15" customHeight="1">
      <c r="B82" s="682" t="s">
        <v>2389</v>
      </c>
      <c r="C82" s="674"/>
      <c r="D82" s="669"/>
      <c r="E82" s="674"/>
      <c r="F82" s="674"/>
      <c r="G82" s="675"/>
      <c r="I82" s="444"/>
    </row>
    <row r="83" spans="2:18" ht="15" customHeight="1">
      <c r="B83" s="680" t="s">
        <v>2390</v>
      </c>
      <c r="C83" s="674"/>
      <c r="D83" s="674"/>
      <c r="E83" s="672"/>
      <c r="F83" s="672"/>
      <c r="G83" s="675"/>
      <c r="I83" s="444"/>
      <c r="K83" s="663" t="s">
        <v>2391</v>
      </c>
    </row>
    <row r="84" spans="2:18" ht="15" customHeight="1">
      <c r="B84" s="681" t="s">
        <v>2392</v>
      </c>
      <c r="C84" s="676"/>
      <c r="D84" s="676"/>
      <c r="E84" s="670"/>
      <c r="F84" s="670"/>
      <c r="G84" s="677"/>
      <c r="I84" s="444"/>
      <c r="K84" s="663" t="s">
        <v>2393</v>
      </c>
      <c r="L84" s="569"/>
      <c r="M84" s="569"/>
      <c r="N84" s="569"/>
      <c r="O84" s="569"/>
      <c r="P84" s="569"/>
      <c r="Q84" s="1817"/>
      <c r="R84" s="1817"/>
    </row>
    <row r="85" spans="2:18" ht="15" customHeight="1">
      <c r="B85" s="681" t="s">
        <v>2394</v>
      </c>
      <c r="C85" s="678"/>
      <c r="D85" s="678"/>
      <c r="E85" s="673"/>
      <c r="F85" s="673"/>
      <c r="G85" s="679"/>
      <c r="I85" s="444"/>
      <c r="L85" s="597"/>
      <c r="M85" s="597"/>
      <c r="N85" s="597"/>
      <c r="O85" s="597"/>
      <c r="P85" s="597"/>
    </row>
    <row r="86" spans="2:18" ht="15" customHeight="1">
      <c r="B86" s="682" t="s">
        <v>2395</v>
      </c>
      <c r="C86" s="676"/>
      <c r="D86" s="676"/>
      <c r="E86" s="670"/>
      <c r="F86" s="670"/>
      <c r="G86" s="671"/>
      <c r="I86" s="444"/>
      <c r="L86" s="598"/>
      <c r="M86" s="598"/>
      <c r="N86" s="598"/>
      <c r="O86" s="697" t="s">
        <v>682</v>
      </c>
      <c r="P86" s="598"/>
    </row>
    <row r="87" spans="2:18" ht="15" customHeight="1">
      <c r="B87" s="682" t="s">
        <v>2396</v>
      </c>
      <c r="C87" s="678"/>
      <c r="D87" s="669"/>
      <c r="E87" s="674"/>
      <c r="F87" s="674"/>
      <c r="G87" s="701"/>
      <c r="I87" s="444"/>
    </row>
    <row r="88" spans="2:18" ht="15" customHeight="1">
      <c r="B88" s="698"/>
      <c r="C88" s="699"/>
      <c r="D88" s="699"/>
      <c r="E88" s="700" t="s">
        <v>2397</v>
      </c>
      <c r="F88" s="672"/>
      <c r="G88" s="672" t="s">
        <v>2398</v>
      </c>
      <c r="I88" s="444"/>
      <c r="K88" s="664" t="s">
        <v>2399</v>
      </c>
      <c r="L88" s="569"/>
      <c r="M88" s="569"/>
      <c r="N88" s="569"/>
      <c r="O88" s="569"/>
      <c r="P88" s="569"/>
    </row>
    <row r="89" spans="2:18" ht="15" customHeight="1">
      <c r="B89" s="457" t="s">
        <v>2325</v>
      </c>
      <c r="C89" s="458" t="s">
        <v>2400</v>
      </c>
      <c r="D89" s="683" t="s">
        <v>2401</v>
      </c>
      <c r="E89" s="683" t="s">
        <v>2402</v>
      </c>
      <c r="F89" s="436"/>
      <c r="G89" s="436" t="s">
        <v>2403</v>
      </c>
      <c r="I89" s="444"/>
      <c r="K89" s="664" t="s">
        <v>2404</v>
      </c>
      <c r="L89" s="597"/>
      <c r="M89" s="597"/>
      <c r="N89" s="597"/>
      <c r="O89" s="597"/>
      <c r="P89" s="597"/>
      <c r="Q89" s="1817">
        <v>0</v>
      </c>
      <c r="R89" s="1817"/>
    </row>
    <row r="90" spans="2:18" ht="15" customHeight="1">
      <c r="B90" s="421" t="s">
        <v>933</v>
      </c>
      <c r="C90" s="422">
        <v>22</v>
      </c>
      <c r="D90" s="423">
        <f>+Application!O692</f>
        <v>595</v>
      </c>
      <c r="E90" s="423">
        <v>1840</v>
      </c>
      <c r="F90" s="465"/>
      <c r="G90" s="314">
        <f>MAX(($E90-$D90)*$C90*12,0)</f>
        <v>328680</v>
      </c>
      <c r="I90" s="444"/>
      <c r="K90" s="664" t="s">
        <v>2405</v>
      </c>
      <c r="L90" s="597"/>
      <c r="M90" s="597"/>
      <c r="N90" s="597"/>
      <c r="O90" s="597"/>
      <c r="P90" s="597"/>
      <c r="Q90" s="1820">
        <v>0</v>
      </c>
      <c r="R90" s="1820"/>
    </row>
    <row r="91" spans="2:18" ht="15" customHeight="1">
      <c r="B91" s="421" t="s">
        <v>933</v>
      </c>
      <c r="C91" s="422"/>
      <c r="D91" s="423"/>
      <c r="E91" s="423"/>
      <c r="F91" s="465"/>
      <c r="G91" s="314">
        <f t="shared" ref="G91:G97" si="0">MAX(($E91-$D91)*$C91*12,0)</f>
        <v>0</v>
      </c>
      <c r="I91" s="444"/>
      <c r="K91" s="664" t="s">
        <v>2406</v>
      </c>
      <c r="L91" s="597"/>
      <c r="M91" s="597"/>
      <c r="N91" s="597"/>
      <c r="O91" s="597"/>
      <c r="P91" s="597"/>
      <c r="Q91" s="1818">
        <f>IFERROR(Q89/Q90,0)</f>
        <v>0</v>
      </c>
      <c r="R91" s="1818"/>
    </row>
    <row r="92" spans="2:18" ht="15" customHeight="1">
      <c r="B92" s="421" t="s">
        <v>933</v>
      </c>
      <c r="C92" s="422"/>
      <c r="D92" s="423"/>
      <c r="E92" s="423"/>
      <c r="F92" s="465"/>
      <c r="G92" s="314">
        <f t="shared" si="0"/>
        <v>0</v>
      </c>
      <c r="I92" s="444"/>
    </row>
    <row r="93" spans="2:18" ht="15" customHeight="1">
      <c r="B93" s="421" t="s">
        <v>933</v>
      </c>
      <c r="C93" s="422"/>
      <c r="D93" s="423"/>
      <c r="E93" s="423"/>
      <c r="F93" s="465"/>
      <c r="G93" s="314">
        <f t="shared" si="0"/>
        <v>0</v>
      </c>
      <c r="I93" s="444"/>
      <c r="K93" s="306" t="s">
        <v>2407</v>
      </c>
      <c r="L93" s="453"/>
      <c r="M93" s="453"/>
      <c r="N93" s="453"/>
      <c r="O93" s="453"/>
      <c r="P93" s="453"/>
      <c r="Q93" s="1819">
        <f>MAX(Q84,Q91)</f>
        <v>0</v>
      </c>
      <c r="R93" s="1819"/>
    </row>
    <row r="94" spans="2:18" ht="15" customHeight="1">
      <c r="B94" s="421" t="s">
        <v>933</v>
      </c>
      <c r="C94" s="422"/>
      <c r="D94" s="423"/>
      <c r="E94" s="423"/>
      <c r="F94" s="465"/>
      <c r="G94" s="314">
        <f t="shared" si="0"/>
        <v>0</v>
      </c>
      <c r="I94" s="444"/>
      <c r="K94" s="306"/>
      <c r="L94" s="453"/>
      <c r="M94" s="453"/>
      <c r="N94" s="453"/>
      <c r="O94" s="453"/>
      <c r="P94" s="453"/>
      <c r="Q94" s="445"/>
      <c r="R94" s="445"/>
    </row>
    <row r="95" spans="2:18" ht="15" customHeight="1">
      <c r="B95" s="421" t="s">
        <v>933</v>
      </c>
      <c r="C95" s="422"/>
      <c r="D95" s="423"/>
      <c r="E95" s="423"/>
      <c r="F95" s="465"/>
      <c r="G95" s="314">
        <f t="shared" si="0"/>
        <v>0</v>
      </c>
      <c r="I95" s="444"/>
      <c r="K95" s="306"/>
      <c r="L95" s="453"/>
      <c r="M95" s="453"/>
      <c r="N95" s="453"/>
      <c r="O95" s="453"/>
      <c r="P95" s="453"/>
      <c r="Q95" s="445"/>
      <c r="R95" s="445"/>
    </row>
    <row r="96" spans="2:18" ht="15" customHeight="1">
      <c r="B96" s="421" t="s">
        <v>933</v>
      </c>
      <c r="C96" s="422"/>
      <c r="D96" s="423"/>
      <c r="E96" s="423"/>
      <c r="F96" s="465"/>
      <c r="G96" s="314">
        <f t="shared" si="0"/>
        <v>0</v>
      </c>
      <c r="I96" s="444"/>
    </row>
    <row r="97" spans="2:9" ht="15" customHeight="1">
      <c r="B97" s="421" t="s">
        <v>933</v>
      </c>
      <c r="C97" s="422"/>
      <c r="D97" s="423"/>
      <c r="E97" s="423"/>
      <c r="F97" s="465"/>
      <c r="G97" s="314">
        <f t="shared" si="0"/>
        <v>0</v>
      </c>
      <c r="I97" s="444"/>
    </row>
    <row r="98" spans="2:9" ht="15" customHeight="1">
      <c r="C98" s="460"/>
      <c r="D98" s="306"/>
      <c r="E98" s="453" t="s">
        <v>2408</v>
      </c>
      <c r="F98" s="453"/>
      <c r="G98" s="449">
        <f>SUM(G90:G97)</f>
        <v>328680</v>
      </c>
      <c r="I98" s="444"/>
    </row>
    <row r="99" spans="2:9" ht="15" customHeight="1">
      <c r="I99" s="444"/>
    </row>
    <row r="100" spans="2:9" ht="15" customHeight="1">
      <c r="B100" s="306" t="s">
        <v>2409</v>
      </c>
      <c r="D100" s="445">
        <f>G98+Q93</f>
        <v>328680</v>
      </c>
      <c r="I100" s="444"/>
    </row>
    <row r="101" spans="2:9" ht="15" customHeight="1">
      <c r="B101" s="306" t="s">
        <v>2410</v>
      </c>
      <c r="D101" s="461">
        <v>0.05</v>
      </c>
      <c r="I101" s="444"/>
    </row>
    <row r="102" spans="2:9" ht="15" customHeight="1">
      <c r="B102" s="306" t="s">
        <v>2411</v>
      </c>
      <c r="D102" s="445">
        <f>D100-(D100*D101)</f>
        <v>312246</v>
      </c>
    </row>
    <row r="103" spans="2:9" ht="15" customHeight="1">
      <c r="B103" s="306" t="s">
        <v>2412</v>
      </c>
      <c r="D103" s="462"/>
    </row>
    <row r="104" spans="2:9" ht="15" customHeight="1">
      <c r="B104" s="306" t="s">
        <v>2413</v>
      </c>
      <c r="D104" s="445">
        <f>D102/D108</f>
        <v>271518.26086956525</v>
      </c>
    </row>
    <row r="106" spans="2:9" ht="15" customHeight="1">
      <c r="B106" s="306" t="s">
        <v>2414</v>
      </c>
      <c r="D106" s="306">
        <v>15</v>
      </c>
    </row>
    <row r="107" spans="2:9" ht="15" customHeight="1">
      <c r="B107" s="306" t="s">
        <v>2415</v>
      </c>
      <c r="D107" s="561">
        <v>0.04</v>
      </c>
    </row>
    <row r="108" spans="2:9" ht="15" customHeight="1">
      <c r="B108" s="306" t="s">
        <v>2416</v>
      </c>
      <c r="D108" s="463">
        <v>1.1499999999999999</v>
      </c>
    </row>
    <row r="109" spans="2:9" ht="15" customHeight="1">
      <c r="B109" s="306"/>
      <c r="C109" s="306"/>
      <c r="D109" s="464"/>
      <c r="E109" s="464"/>
      <c r="F109" s="464"/>
    </row>
    <row r="110" spans="2:9" ht="15" customHeight="1">
      <c r="B110" s="306" t="s">
        <v>2417</v>
      </c>
      <c r="C110" s="306"/>
      <c r="D110" s="556">
        <f>PV(D107/12,D106*12,-D104/12, ,0)</f>
        <v>3058928.0905854646</v>
      </c>
      <c r="E110" s="306"/>
      <c r="F110" s="306"/>
      <c r="G110" s="45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Normal="100" workbookViewId="0">
      <selection activeCell="B1" sqref="B1"/>
    </sheetView>
  </sheetViews>
  <sheetFormatPr defaultColWidth="0" defaultRowHeight="12.3"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7">
      <c r="A1" s="307" t="s">
        <v>2418</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
      <c r="A3" s="308" t="s">
        <v>2419</v>
      </c>
      <c r="B3" s="308"/>
      <c r="C3" s="334" t="s">
        <v>2420</v>
      </c>
      <c r="D3" s="309"/>
      <c r="E3" s="335" t="s">
        <v>2421</v>
      </c>
      <c r="F3" s="305"/>
      <c r="G3" s="335" t="s">
        <v>2422</v>
      </c>
      <c r="H3" s="305"/>
      <c r="I3" s="335" t="s">
        <v>2423</v>
      </c>
      <c r="J3" s="305"/>
      <c r="K3" s="335" t="s">
        <v>2424</v>
      </c>
      <c r="L3" s="305"/>
      <c r="M3" s="335" t="s">
        <v>2425</v>
      </c>
      <c r="N3" s="305"/>
      <c r="O3" s="335" t="s">
        <v>2426</v>
      </c>
      <c r="P3" s="305"/>
      <c r="Q3" s="335" t="s">
        <v>2427</v>
      </c>
      <c r="R3" s="305"/>
      <c r="S3" s="335" t="s">
        <v>2428</v>
      </c>
      <c r="T3" s="305"/>
      <c r="U3" s="335" t="s">
        <v>2429</v>
      </c>
      <c r="V3" s="305"/>
      <c r="W3" s="335" t="s">
        <v>2430</v>
      </c>
      <c r="X3" s="305"/>
      <c r="Y3" s="335" t="s">
        <v>2431</v>
      </c>
      <c r="Z3" s="305"/>
      <c r="AA3" s="335" t="s">
        <v>2432</v>
      </c>
      <c r="AB3" s="305"/>
      <c r="AC3" s="335" t="s">
        <v>2433</v>
      </c>
      <c r="AD3" s="305"/>
      <c r="AE3" s="335" t="s">
        <v>2434</v>
      </c>
      <c r="AF3" s="305"/>
      <c r="AG3" s="335" t="s">
        <v>2435</v>
      </c>
      <c r="AH3" s="309"/>
    </row>
    <row r="4" spans="1:34" ht="13.8">
      <c r="A4" s="314" t="s">
        <v>2436</v>
      </c>
      <c r="B4" s="314"/>
      <c r="C4" s="337">
        <v>1.0249999999999999</v>
      </c>
      <c r="D4" s="314"/>
      <c r="E4" s="314">
        <f>+Application!Y765</f>
        <v>359436</v>
      </c>
      <c r="F4" s="314"/>
      <c r="G4" s="314">
        <f>E4*$C$4</f>
        <v>368421.89999999997</v>
      </c>
      <c r="H4" s="314"/>
      <c r="I4" s="314">
        <f>G4*$C$4</f>
        <v>377632.44749999995</v>
      </c>
      <c r="J4" s="314"/>
      <c r="K4" s="314">
        <f>I4*$C$4</f>
        <v>387073.25868749991</v>
      </c>
      <c r="L4" s="314"/>
      <c r="M4" s="314">
        <f>K4*$C$4</f>
        <v>396750.09015468735</v>
      </c>
      <c r="N4" s="314"/>
      <c r="O4" s="314">
        <f>M4*$C$4</f>
        <v>406668.84240855451</v>
      </c>
      <c r="P4" s="314"/>
      <c r="Q4" s="314">
        <f>O4*$C$4</f>
        <v>416835.56346876832</v>
      </c>
      <c r="R4" s="314"/>
      <c r="S4" s="314">
        <f>Q4*$C$4</f>
        <v>427256.45255548751</v>
      </c>
      <c r="T4" s="314"/>
      <c r="U4" s="314">
        <f>S4*$C$4</f>
        <v>437937.86386937468</v>
      </c>
      <c r="V4" s="314"/>
      <c r="W4" s="314">
        <f>U4*$C$4</f>
        <v>448886.31046610902</v>
      </c>
      <c r="X4" s="314"/>
      <c r="Y4" s="314">
        <f>W4*$C$4</f>
        <v>460108.46822776168</v>
      </c>
      <c r="Z4" s="314"/>
      <c r="AA4" s="314">
        <f>Y4*$C$4</f>
        <v>471611.17993345566</v>
      </c>
      <c r="AB4" s="314"/>
      <c r="AC4" s="314">
        <f>AA4*$C$4</f>
        <v>483401.45943179203</v>
      </c>
      <c r="AD4" s="314"/>
      <c r="AE4" s="314">
        <f>AC4*$C$4</f>
        <v>495486.49591758678</v>
      </c>
      <c r="AF4" s="314"/>
      <c r="AG4" s="314">
        <f>AE4*$C$4</f>
        <v>507873.65831552644</v>
      </c>
      <c r="AH4" s="314"/>
    </row>
    <row r="5" spans="1:34" ht="13.8">
      <c r="A5" s="306"/>
      <c r="B5" s="306" t="s">
        <v>2410</v>
      </c>
      <c r="C5" s="921">
        <v>7.4999999999999997E-2</v>
      </c>
      <c r="D5" s="306"/>
      <c r="E5" s="316">
        <f>-E4*$C$5</f>
        <v>-26957.7</v>
      </c>
      <c r="F5" s="316"/>
      <c r="G5" s="316">
        <f>-G4*$C$5</f>
        <v>-27631.642499999998</v>
      </c>
      <c r="H5" s="316"/>
      <c r="I5" s="316">
        <f>-I4*$C$5</f>
        <v>-28322.433562499995</v>
      </c>
      <c r="J5" s="316"/>
      <c r="K5" s="316">
        <f>-K4*$C$5</f>
        <v>-29030.494401562493</v>
      </c>
      <c r="L5" s="316"/>
      <c r="M5" s="316">
        <f>-M4*$C$5</f>
        <v>-29756.256761601551</v>
      </c>
      <c r="N5" s="316"/>
      <c r="O5" s="316">
        <f>-O4*$C$5</f>
        <v>-30500.163180641586</v>
      </c>
      <c r="P5" s="316"/>
      <c r="Q5" s="316">
        <f>-Q4*$C$5</f>
        <v>-31262.667260157621</v>
      </c>
      <c r="R5" s="316"/>
      <c r="S5" s="316">
        <f>-S4*$C$5</f>
        <v>-32044.233941661561</v>
      </c>
      <c r="T5" s="316"/>
      <c r="U5" s="316">
        <f>-U4*$C$5</f>
        <v>-32845.339790203099</v>
      </c>
      <c r="V5" s="316"/>
      <c r="W5" s="316">
        <f>-W4*$C$5</f>
        <v>-33666.473284958178</v>
      </c>
      <c r="X5" s="316"/>
      <c r="Y5" s="316">
        <f>-Y4*$C$5</f>
        <v>-34508.135117082122</v>
      </c>
      <c r="Z5" s="316"/>
      <c r="AA5" s="316">
        <f>-AA4*$C$5</f>
        <v>-35370.838495009171</v>
      </c>
      <c r="AB5" s="316"/>
      <c r="AC5" s="316">
        <f>-AC4*$C$5</f>
        <v>-36255.109457384402</v>
      </c>
      <c r="AD5" s="316"/>
      <c r="AE5" s="316">
        <f>-AE4*$C$5</f>
        <v>-37161.487193819004</v>
      </c>
      <c r="AF5" s="316"/>
      <c r="AG5" s="316">
        <f>-AG4*$C$5</f>
        <v>-38090.524373664484</v>
      </c>
      <c r="AH5" s="306"/>
    </row>
    <row r="6" spans="1:34" ht="13.8">
      <c r="A6" s="306" t="s">
        <v>2437</v>
      </c>
      <c r="B6" s="306"/>
      <c r="C6" s="337">
        <v>1.0249999999999999</v>
      </c>
      <c r="D6" s="306"/>
      <c r="E6" s="317">
        <f>+'Subsidy Contract Calculation'!I30</f>
        <v>328680</v>
      </c>
      <c r="F6" s="317"/>
      <c r="G6" s="317">
        <f>E6*$C$6</f>
        <v>336896.99999999994</v>
      </c>
      <c r="H6" s="317"/>
      <c r="I6" s="317">
        <f>G6*$C$6</f>
        <v>345319.42499999993</v>
      </c>
      <c r="J6" s="317"/>
      <c r="K6" s="317">
        <f>I6*$C$6</f>
        <v>353952.4106249999</v>
      </c>
      <c r="L6" s="317"/>
      <c r="M6" s="317">
        <f>K6*$C$6</f>
        <v>362801.22089062486</v>
      </c>
      <c r="N6" s="317"/>
      <c r="O6" s="317">
        <f>M6*$C$6</f>
        <v>371871.25141289044</v>
      </c>
      <c r="P6" s="317"/>
      <c r="Q6" s="317">
        <f>O6*$C$6</f>
        <v>381168.03269821266</v>
      </c>
      <c r="R6" s="317"/>
      <c r="S6" s="317">
        <f>Q6*$C$6</f>
        <v>390697.23351566796</v>
      </c>
      <c r="T6" s="317"/>
      <c r="U6" s="317">
        <f>S6*$C$6</f>
        <v>400464.66435355961</v>
      </c>
      <c r="V6" s="317"/>
      <c r="W6" s="317">
        <f>U6*$C$6</f>
        <v>410476.28096239857</v>
      </c>
      <c r="X6" s="317"/>
      <c r="Y6" s="317">
        <f>W6*$C$6</f>
        <v>420738.18798645848</v>
      </c>
      <c r="Z6" s="317"/>
      <c r="AA6" s="317">
        <f>Y6*$C$6</f>
        <v>431256.64268611989</v>
      </c>
      <c r="AB6" s="317"/>
      <c r="AC6" s="317">
        <f>AA6*$C$6</f>
        <v>442038.05875327287</v>
      </c>
      <c r="AD6" s="317"/>
      <c r="AE6" s="317">
        <f>AC6*$C$6</f>
        <v>453089.01022210467</v>
      </c>
      <c r="AF6" s="317"/>
      <c r="AG6" s="317">
        <f>AE6*$C$6</f>
        <v>464416.23547765723</v>
      </c>
      <c r="AH6" s="306"/>
    </row>
    <row r="7" spans="1:34" ht="13.8">
      <c r="A7" s="306"/>
      <c r="B7" s="306" t="s">
        <v>2410</v>
      </c>
      <c r="C7" s="921">
        <f>+C5</f>
        <v>7.4999999999999997E-2</v>
      </c>
      <c r="D7" s="306"/>
      <c r="E7" s="316">
        <f>-E6*$C$7</f>
        <v>-24651</v>
      </c>
      <c r="F7" s="316"/>
      <c r="G7" s="316">
        <f>-G6*$C$7</f>
        <v>-25267.274999999994</v>
      </c>
      <c r="H7" s="316"/>
      <c r="I7" s="316">
        <f>-I6*$C$7</f>
        <v>-25898.956874999993</v>
      </c>
      <c r="J7" s="316"/>
      <c r="K7" s="316">
        <f>-K6*$C$7</f>
        <v>-26546.430796874993</v>
      </c>
      <c r="L7" s="316"/>
      <c r="M7" s="316">
        <f>-M6*$C$7</f>
        <v>-27210.091566796862</v>
      </c>
      <c r="N7" s="316"/>
      <c r="O7" s="316">
        <f>-O6*$C$7</f>
        <v>-27890.343855966781</v>
      </c>
      <c r="P7" s="316"/>
      <c r="Q7" s="316">
        <f>-Q6*$C$7</f>
        <v>-28587.602452365947</v>
      </c>
      <c r="R7" s="316"/>
      <c r="S7" s="316">
        <f>-S6*$C$7</f>
        <v>-29302.292513675096</v>
      </c>
      <c r="T7" s="316"/>
      <c r="U7" s="316">
        <f>-U6*$C$7</f>
        <v>-30034.849826516969</v>
      </c>
      <c r="V7" s="316"/>
      <c r="W7" s="316">
        <f>-W6*$C$7</f>
        <v>-30785.721072179891</v>
      </c>
      <c r="X7" s="316"/>
      <c r="Y7" s="316">
        <f>-Y6*$C$7</f>
        <v>-31555.364098984384</v>
      </c>
      <c r="Z7" s="316"/>
      <c r="AA7" s="316">
        <f>-AA6*$C$7</f>
        <v>-32344.248201458991</v>
      </c>
      <c r="AB7" s="316"/>
      <c r="AC7" s="316">
        <f>-AC6*$C$7</f>
        <v>-33152.854406495462</v>
      </c>
      <c r="AD7" s="316"/>
      <c r="AE7" s="316">
        <f>-AE6*$C$7</f>
        <v>-33981.675766657849</v>
      </c>
      <c r="AF7" s="316"/>
      <c r="AG7" s="316">
        <f>-AG6*$C$7</f>
        <v>-34831.217660824288</v>
      </c>
      <c r="AH7" s="306"/>
    </row>
    <row r="8" spans="1:34" ht="13.8">
      <c r="A8" s="306" t="s">
        <v>210</v>
      </c>
      <c r="B8" s="306"/>
      <c r="C8" s="337">
        <v>1.0249999999999999</v>
      </c>
      <c r="D8" s="306"/>
      <c r="E8" s="317">
        <f>+Application!Z781</f>
        <v>21948</v>
      </c>
      <c r="F8" s="317"/>
      <c r="G8" s="317">
        <f>E8*$C$8</f>
        <v>22496.699999999997</v>
      </c>
      <c r="H8" s="317"/>
      <c r="I8" s="317">
        <f>G8*$C$8</f>
        <v>23059.117499999997</v>
      </c>
      <c r="J8" s="317"/>
      <c r="K8" s="317">
        <f>I8*$C$8</f>
        <v>23635.595437499993</v>
      </c>
      <c r="L8" s="317"/>
      <c r="M8" s="317">
        <f>K8*$C$8</f>
        <v>24226.48532343749</v>
      </c>
      <c r="N8" s="317"/>
      <c r="O8" s="317">
        <f>M8*$C$8</f>
        <v>24832.147456523424</v>
      </c>
      <c r="P8" s="317"/>
      <c r="Q8" s="317">
        <f>O8*$C$8</f>
        <v>25452.951142936508</v>
      </c>
      <c r="R8" s="317"/>
      <c r="S8" s="317">
        <f>Q8*$C$8</f>
        <v>26089.274921509917</v>
      </c>
      <c r="T8" s="317"/>
      <c r="U8" s="317">
        <f>S8*$C$8</f>
        <v>26741.506794547662</v>
      </c>
      <c r="V8" s="317"/>
      <c r="W8" s="317">
        <f>U8*$C$8</f>
        <v>27410.044464411352</v>
      </c>
      <c r="X8" s="317"/>
      <c r="Y8" s="317">
        <f>W8*$C$8</f>
        <v>28095.295576021632</v>
      </c>
      <c r="Z8" s="317"/>
      <c r="AA8" s="317">
        <f>Y8*$C$8</f>
        <v>28797.677965422172</v>
      </c>
      <c r="AB8" s="317"/>
      <c r="AC8" s="317">
        <f>AA8*$C$8</f>
        <v>29517.619914557723</v>
      </c>
      <c r="AD8" s="317"/>
      <c r="AE8" s="317">
        <f>AC8*$C$8</f>
        <v>30255.560412421662</v>
      </c>
      <c r="AF8" s="317"/>
      <c r="AG8" s="317">
        <f>AE8*$C$8</f>
        <v>31011.949422732203</v>
      </c>
      <c r="AH8" s="306"/>
    </row>
    <row r="9" spans="1:34" ht="13.8">
      <c r="A9" s="306"/>
      <c r="B9" s="306" t="s">
        <v>2410</v>
      </c>
      <c r="C9" s="921">
        <f>+C5</f>
        <v>7.4999999999999997E-2</v>
      </c>
      <c r="D9" s="306"/>
      <c r="E9" s="316">
        <f>-E8*$C$9</f>
        <v>-1646.1</v>
      </c>
      <c r="F9" s="316"/>
      <c r="G9" s="316">
        <f>-G8*$C$9</f>
        <v>-1687.2524999999998</v>
      </c>
      <c r="H9" s="316"/>
      <c r="I9" s="316">
        <f>-I8*$C$9</f>
        <v>-1729.4338124999997</v>
      </c>
      <c r="J9" s="316"/>
      <c r="K9" s="316">
        <f>-K8*$C$9</f>
        <v>-1772.6696578124995</v>
      </c>
      <c r="L9" s="316"/>
      <c r="M9" s="316">
        <f>-M8*$C$9</f>
        <v>-1816.9863992578116</v>
      </c>
      <c r="N9" s="316"/>
      <c r="O9" s="316">
        <f>-O8*$C$9</f>
        <v>-1862.4110592392567</v>
      </c>
      <c r="P9" s="316"/>
      <c r="Q9" s="316">
        <f>-Q8*$C$9</f>
        <v>-1908.9713357202381</v>
      </c>
      <c r="R9" s="316"/>
      <c r="S9" s="316">
        <f>-S8*$C$9</f>
        <v>-1956.6956191132438</v>
      </c>
      <c r="T9" s="316"/>
      <c r="U9" s="316">
        <f>-U8*$C$9</f>
        <v>-2005.6130095910746</v>
      </c>
      <c r="V9" s="316"/>
      <c r="W9" s="316">
        <f>-W8*$C$9</f>
        <v>-2055.7533348308511</v>
      </c>
      <c r="X9" s="316"/>
      <c r="Y9" s="316">
        <f>-Y8*$C$9</f>
        <v>-2107.1471682016222</v>
      </c>
      <c r="Z9" s="316"/>
      <c r="AA9" s="316">
        <f>-AA8*$C$9</f>
        <v>-2159.8258474066629</v>
      </c>
      <c r="AB9" s="316"/>
      <c r="AC9" s="316">
        <f>-AC8*$C$9</f>
        <v>-2213.821493591829</v>
      </c>
      <c r="AD9" s="316"/>
      <c r="AE9" s="316">
        <f>-AE8*$C$9</f>
        <v>-2269.1670309316246</v>
      </c>
      <c r="AF9" s="316"/>
      <c r="AG9" s="316">
        <f>-AG8*$C$9</f>
        <v>-2325.8962067049151</v>
      </c>
      <c r="AH9" s="306"/>
    </row>
    <row r="10" spans="1:34" ht="13.8">
      <c r="A10" s="840" t="s">
        <v>228</v>
      </c>
      <c r="B10" s="840"/>
      <c r="C10" s="921"/>
      <c r="D10" s="306"/>
      <c r="E10" s="841"/>
      <c r="F10" s="316"/>
      <c r="G10" s="841"/>
      <c r="H10" s="316"/>
      <c r="I10" s="841"/>
      <c r="J10" s="316"/>
      <c r="K10" s="841"/>
      <c r="L10" s="316"/>
      <c r="M10" s="841"/>
      <c r="N10" s="316"/>
      <c r="O10" s="841"/>
      <c r="P10" s="316"/>
      <c r="Q10" s="841"/>
      <c r="R10" s="316"/>
      <c r="S10" s="841"/>
      <c r="T10" s="316"/>
      <c r="U10" s="841"/>
      <c r="V10" s="316"/>
      <c r="W10" s="841"/>
      <c r="X10" s="316"/>
      <c r="Y10" s="841"/>
      <c r="Z10" s="316"/>
      <c r="AA10" s="841"/>
      <c r="AB10" s="316"/>
      <c r="AC10" s="841"/>
      <c r="AD10" s="316"/>
      <c r="AE10" s="841"/>
      <c r="AF10" s="316"/>
      <c r="AG10" s="841"/>
      <c r="AH10" s="306"/>
    </row>
    <row r="11" spans="1:34" ht="14.1">
      <c r="A11" s="318" t="s">
        <v>2438</v>
      </c>
      <c r="B11" s="318"/>
      <c r="C11" s="311"/>
      <c r="D11" s="318"/>
      <c r="E11" s="318">
        <f>SUM(E4:E10)</f>
        <v>656809.20000000007</v>
      </c>
      <c r="F11" s="318"/>
      <c r="G11" s="318">
        <f>SUM(G4:G10)</f>
        <v>673229.42999999982</v>
      </c>
      <c r="H11" s="318"/>
      <c r="I11" s="318">
        <f>SUM(I4:I10)</f>
        <v>690060.16574999993</v>
      </c>
      <c r="J11" s="318"/>
      <c r="K11" s="318">
        <f>SUM(K4:K10)</f>
        <v>707311.66989374987</v>
      </c>
      <c r="L11" s="318"/>
      <c r="M11" s="318">
        <f>SUM(M4:M10)</f>
        <v>724994.46164109348</v>
      </c>
      <c r="N11" s="318"/>
      <c r="O11" s="318">
        <f>SUM(O4:O10)</f>
        <v>743119.32318212069</v>
      </c>
      <c r="P11" s="318"/>
      <c r="Q11" s="318">
        <f>SUM(Q4:Q10)</f>
        <v>761697.30626167357</v>
      </c>
      <c r="R11" s="318"/>
      <c r="S11" s="318">
        <f>SUM(S4:S10)</f>
        <v>780739.7389182155</v>
      </c>
      <c r="T11" s="318"/>
      <c r="U11" s="318">
        <f>SUM(U4:U10)</f>
        <v>800258.23239117081</v>
      </c>
      <c r="V11" s="318"/>
      <c r="W11" s="318">
        <f>SUM(W4:W10)</f>
        <v>820264.68820095004</v>
      </c>
      <c r="X11" s="318"/>
      <c r="Y11" s="318">
        <f>SUM(Y4:Y10)</f>
        <v>840771.30540597369</v>
      </c>
      <c r="Z11" s="318"/>
      <c r="AA11" s="318">
        <f>SUM(AA4:AA10)</f>
        <v>861790.588041123</v>
      </c>
      <c r="AB11" s="318"/>
      <c r="AC11" s="318">
        <f>SUM(AC4:AC10)</f>
        <v>883335.35274215089</v>
      </c>
      <c r="AD11" s="318"/>
      <c r="AE11" s="318">
        <f>SUM(AE4:AE10)</f>
        <v>905418.73656070477</v>
      </c>
      <c r="AF11" s="318"/>
      <c r="AG11" s="318">
        <f>SUM(AG4:AG10)</f>
        <v>928054.20497472223</v>
      </c>
      <c r="AH11" s="318"/>
    </row>
    <row r="12" spans="1:34">
      <c r="A12" s="296"/>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5">
      <c r="A13" s="308" t="s">
        <v>2439</v>
      </c>
      <c r="B13" s="296"/>
      <c r="C13" s="328"/>
      <c r="D13" s="296"/>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296"/>
    </row>
    <row r="14" spans="1:34" ht="13.8">
      <c r="A14" s="306" t="s">
        <v>2440</v>
      </c>
      <c r="B14" s="306"/>
      <c r="C14" s="337">
        <v>1.0349999999999999</v>
      </c>
      <c r="D14" s="306"/>
      <c r="E14" s="317"/>
      <c r="F14" s="317"/>
      <c r="G14" s="317"/>
      <c r="H14" s="317"/>
      <c r="I14" s="317"/>
      <c r="J14" s="317"/>
      <c r="K14" s="317"/>
      <c r="L14" s="317"/>
      <c r="M14" s="317"/>
      <c r="N14" s="317"/>
      <c r="O14" s="317"/>
      <c r="P14" s="317"/>
      <c r="Q14" s="317"/>
      <c r="R14" s="317"/>
      <c r="S14" s="317"/>
      <c r="T14" s="317"/>
      <c r="U14" s="317"/>
      <c r="V14" s="317"/>
      <c r="W14" s="317"/>
      <c r="X14" s="317"/>
      <c r="Y14" s="317"/>
      <c r="Z14" s="317"/>
      <c r="AA14" s="317"/>
      <c r="AB14" s="317"/>
      <c r="AC14" s="317"/>
      <c r="AD14" s="317"/>
      <c r="AE14" s="317"/>
      <c r="AF14" s="317"/>
      <c r="AG14" s="317"/>
      <c r="AH14" s="306"/>
    </row>
    <row r="15" spans="1:34" ht="13.8">
      <c r="A15" s="314" t="s">
        <v>2441</v>
      </c>
      <c r="B15" s="314"/>
      <c r="C15" s="329"/>
      <c r="D15" s="314"/>
      <c r="E15" s="314">
        <f>+Application!W811</f>
        <v>25200</v>
      </c>
      <c r="F15" s="314"/>
      <c r="G15" s="314">
        <f t="shared" ref="G15:G21" si="0">E15*$C$14</f>
        <v>26081.999999999996</v>
      </c>
      <c r="H15" s="314"/>
      <c r="I15" s="314">
        <f t="shared" ref="I15:I21" si="1">G15*$C$14</f>
        <v>26994.869999999995</v>
      </c>
      <c r="J15" s="314"/>
      <c r="K15" s="314">
        <f t="shared" ref="K15:K21" si="2">I15*$C$14</f>
        <v>27939.690449999995</v>
      </c>
      <c r="L15" s="314"/>
      <c r="M15" s="314">
        <f t="shared" ref="M15:M21" si="3">K15*$C$14</f>
        <v>28917.579615749994</v>
      </c>
      <c r="N15" s="314"/>
      <c r="O15" s="314">
        <f t="shared" ref="O15:O21" si="4">M15*$C$14</f>
        <v>29929.694902301242</v>
      </c>
      <c r="P15" s="314"/>
      <c r="Q15" s="314">
        <f t="shared" ref="Q15:Q21" si="5">O15*$C$14</f>
        <v>30977.234223881784</v>
      </c>
      <c r="R15" s="314"/>
      <c r="S15" s="314">
        <f t="shared" ref="S15:S21" si="6">Q15*$C$14</f>
        <v>32061.437421717645</v>
      </c>
      <c r="T15" s="314"/>
      <c r="U15" s="314">
        <f t="shared" ref="U15:U21" si="7">S15*$C$14</f>
        <v>33183.587731477761</v>
      </c>
      <c r="V15" s="314"/>
      <c r="W15" s="314">
        <f t="shared" ref="W15:W21" si="8">U15*$C$14</f>
        <v>34345.013302079482</v>
      </c>
      <c r="X15" s="314"/>
      <c r="Y15" s="314">
        <f t="shared" ref="Y15:Y21" si="9">W15*$C$14</f>
        <v>35547.088767652262</v>
      </c>
      <c r="Z15" s="314"/>
      <c r="AA15" s="314">
        <f t="shared" ref="AA15:AA21" si="10">Y15*$C$14</f>
        <v>36791.236874520087</v>
      </c>
      <c r="AB15" s="314"/>
      <c r="AC15" s="314">
        <f t="shared" ref="AC15:AC21" si="11">AA15*$C$14</f>
        <v>38078.930165128288</v>
      </c>
      <c r="AD15" s="314"/>
      <c r="AE15" s="314">
        <f t="shared" ref="AE15:AE21" si="12">AC15*$C$14</f>
        <v>39411.692720907777</v>
      </c>
      <c r="AF15" s="314"/>
      <c r="AG15" s="314">
        <f t="shared" ref="AG15:AG21" si="13">AE15*$C$14</f>
        <v>40791.101966139548</v>
      </c>
      <c r="AH15" s="314"/>
    </row>
    <row r="16" spans="1:34" ht="13.8">
      <c r="A16" s="306" t="s">
        <v>1510</v>
      </c>
      <c r="B16" s="306"/>
      <c r="C16" s="328"/>
      <c r="D16" s="306"/>
      <c r="E16" s="317">
        <f>+Application!W813</f>
        <v>23000</v>
      </c>
      <c r="F16" s="317"/>
      <c r="G16" s="317">
        <f t="shared" si="0"/>
        <v>23804.999999999996</v>
      </c>
      <c r="H16" s="317"/>
      <c r="I16" s="317">
        <f t="shared" si="1"/>
        <v>24638.174999999996</v>
      </c>
      <c r="J16" s="317"/>
      <c r="K16" s="317">
        <f t="shared" si="2"/>
        <v>25500.511124999994</v>
      </c>
      <c r="L16" s="317"/>
      <c r="M16" s="317">
        <f t="shared" si="3"/>
        <v>26393.029014374992</v>
      </c>
      <c r="N16" s="317"/>
      <c r="O16" s="317">
        <f t="shared" si="4"/>
        <v>27316.785029878116</v>
      </c>
      <c r="P16" s="317"/>
      <c r="Q16" s="317">
        <f t="shared" si="5"/>
        <v>28272.87250592385</v>
      </c>
      <c r="R16" s="317"/>
      <c r="S16" s="317">
        <f t="shared" si="6"/>
        <v>29262.423043631181</v>
      </c>
      <c r="T16" s="317"/>
      <c r="U16" s="317">
        <f t="shared" si="7"/>
        <v>30286.607850158271</v>
      </c>
      <c r="V16" s="317"/>
      <c r="W16" s="317">
        <f t="shared" si="8"/>
        <v>31346.639124913807</v>
      </c>
      <c r="X16" s="317"/>
      <c r="Y16" s="317">
        <f t="shared" si="9"/>
        <v>32443.771494285789</v>
      </c>
      <c r="Z16" s="317"/>
      <c r="AA16" s="317">
        <f t="shared" si="10"/>
        <v>33579.303496585788</v>
      </c>
      <c r="AB16" s="317"/>
      <c r="AC16" s="317">
        <f t="shared" si="11"/>
        <v>34754.579118966285</v>
      </c>
      <c r="AD16" s="317"/>
      <c r="AE16" s="317">
        <f t="shared" si="12"/>
        <v>35970.989388130103</v>
      </c>
      <c r="AF16" s="317"/>
      <c r="AG16" s="317">
        <f t="shared" si="13"/>
        <v>37229.974016714652</v>
      </c>
      <c r="AH16" s="306"/>
    </row>
    <row r="17" spans="1:34" ht="13.8">
      <c r="A17" s="306" t="s">
        <v>225</v>
      </c>
      <c r="B17" s="306"/>
      <c r="C17" s="328"/>
      <c r="D17" s="306"/>
      <c r="E17" s="317">
        <f>+Application!W819</f>
        <v>103000</v>
      </c>
      <c r="F17" s="317"/>
      <c r="G17" s="317">
        <f t="shared" si="0"/>
        <v>106604.99999999999</v>
      </c>
      <c r="H17" s="317"/>
      <c r="I17" s="317">
        <f t="shared" si="1"/>
        <v>110336.17499999997</v>
      </c>
      <c r="J17" s="317"/>
      <c r="K17" s="317">
        <f t="shared" si="2"/>
        <v>114197.94112499997</v>
      </c>
      <c r="L17" s="317"/>
      <c r="M17" s="317">
        <f t="shared" si="3"/>
        <v>118194.86906437496</v>
      </c>
      <c r="N17" s="317"/>
      <c r="O17" s="317">
        <f t="shared" si="4"/>
        <v>122331.68948162807</v>
      </c>
      <c r="P17" s="317"/>
      <c r="Q17" s="317">
        <f t="shared" si="5"/>
        <v>126613.29861348504</v>
      </c>
      <c r="R17" s="317"/>
      <c r="S17" s="317">
        <f t="shared" si="6"/>
        <v>131044.76406495701</v>
      </c>
      <c r="T17" s="317"/>
      <c r="U17" s="317">
        <f t="shared" si="7"/>
        <v>135631.33080723049</v>
      </c>
      <c r="V17" s="317"/>
      <c r="W17" s="317">
        <f t="shared" si="8"/>
        <v>140378.42738548355</v>
      </c>
      <c r="X17" s="317"/>
      <c r="Y17" s="317">
        <f t="shared" si="9"/>
        <v>145291.67234397546</v>
      </c>
      <c r="Z17" s="317"/>
      <c r="AA17" s="317">
        <f t="shared" si="10"/>
        <v>150376.88087601459</v>
      </c>
      <c r="AB17" s="317"/>
      <c r="AC17" s="317">
        <f t="shared" si="11"/>
        <v>155640.07170667508</v>
      </c>
      <c r="AD17" s="317"/>
      <c r="AE17" s="317">
        <f t="shared" si="12"/>
        <v>161087.47421640871</v>
      </c>
      <c r="AF17" s="317"/>
      <c r="AG17" s="317">
        <f t="shared" si="13"/>
        <v>166725.53581398301</v>
      </c>
      <c r="AH17" s="306"/>
    </row>
    <row r="18" spans="1:34" ht="13.8">
      <c r="A18" s="306" t="s">
        <v>2442</v>
      </c>
      <c r="B18" s="306"/>
      <c r="C18" s="328"/>
      <c r="D18" s="306"/>
      <c r="E18" s="317">
        <f>+Application!W826</f>
        <v>78000</v>
      </c>
      <c r="F18" s="317"/>
      <c r="G18" s="317">
        <f t="shared" si="0"/>
        <v>80730</v>
      </c>
      <c r="H18" s="317"/>
      <c r="I18" s="317">
        <f t="shared" si="1"/>
        <v>83555.549999999988</v>
      </c>
      <c r="J18" s="317"/>
      <c r="K18" s="317">
        <f t="shared" si="2"/>
        <v>86479.994249999974</v>
      </c>
      <c r="L18" s="317"/>
      <c r="M18" s="317">
        <f t="shared" si="3"/>
        <v>89506.794048749973</v>
      </c>
      <c r="N18" s="317"/>
      <c r="O18" s="317">
        <f t="shared" si="4"/>
        <v>92639.531840456213</v>
      </c>
      <c r="P18" s="317"/>
      <c r="Q18" s="317">
        <f t="shared" si="5"/>
        <v>95881.915454872171</v>
      </c>
      <c r="R18" s="317"/>
      <c r="S18" s="317">
        <f t="shared" si="6"/>
        <v>99237.782495792693</v>
      </c>
      <c r="T18" s="317"/>
      <c r="U18" s="317">
        <f t="shared" si="7"/>
        <v>102711.10488314542</v>
      </c>
      <c r="V18" s="317"/>
      <c r="W18" s="317">
        <f t="shared" si="8"/>
        <v>106305.9935540555</v>
      </c>
      <c r="X18" s="317"/>
      <c r="Y18" s="317">
        <f t="shared" si="9"/>
        <v>110026.70332844743</v>
      </c>
      <c r="Z18" s="317"/>
      <c r="AA18" s="317">
        <f t="shared" si="10"/>
        <v>113877.63794494308</v>
      </c>
      <c r="AB18" s="317"/>
      <c r="AC18" s="317">
        <f t="shared" si="11"/>
        <v>117863.35527301609</v>
      </c>
      <c r="AD18" s="317"/>
      <c r="AE18" s="317">
        <f t="shared" si="12"/>
        <v>121988.57270757164</v>
      </c>
      <c r="AF18" s="317"/>
      <c r="AG18" s="317">
        <f t="shared" si="13"/>
        <v>126258.17275233664</v>
      </c>
    </row>
    <row r="19" spans="1:34" ht="13.8">
      <c r="A19" s="306" t="s">
        <v>1718</v>
      </c>
      <c r="B19" s="306"/>
      <c r="C19" s="328"/>
      <c r="D19" s="306"/>
      <c r="E19" s="317">
        <f>+Application!W827</f>
        <v>24000</v>
      </c>
      <c r="F19" s="317"/>
      <c r="G19" s="317">
        <f t="shared" si="0"/>
        <v>24839.999999999996</v>
      </c>
      <c r="H19" s="317"/>
      <c r="I19" s="317">
        <f t="shared" si="1"/>
        <v>25709.399999999994</v>
      </c>
      <c r="J19" s="317"/>
      <c r="K19" s="317">
        <f t="shared" si="2"/>
        <v>26609.228999999992</v>
      </c>
      <c r="L19" s="317"/>
      <c r="M19" s="317">
        <f t="shared" si="3"/>
        <v>27540.55201499999</v>
      </c>
      <c r="N19" s="317"/>
      <c r="O19" s="317">
        <f t="shared" si="4"/>
        <v>28504.471335524988</v>
      </c>
      <c r="P19" s="317"/>
      <c r="Q19" s="317">
        <f t="shared" si="5"/>
        <v>29502.127832268361</v>
      </c>
      <c r="R19" s="317"/>
      <c r="S19" s="317">
        <f t="shared" si="6"/>
        <v>30534.70230639775</v>
      </c>
      <c r="T19" s="317"/>
      <c r="U19" s="317">
        <f t="shared" si="7"/>
        <v>31603.416887121668</v>
      </c>
      <c r="V19" s="317"/>
      <c r="W19" s="317">
        <f t="shared" si="8"/>
        <v>32709.536478170925</v>
      </c>
      <c r="X19" s="317"/>
      <c r="Y19" s="317">
        <f t="shared" si="9"/>
        <v>33854.370254906906</v>
      </c>
      <c r="Z19" s="317"/>
      <c r="AA19" s="317">
        <f t="shared" si="10"/>
        <v>35039.273213828645</v>
      </c>
      <c r="AB19" s="317"/>
      <c r="AC19" s="317">
        <f t="shared" si="11"/>
        <v>36265.647776312646</v>
      </c>
      <c r="AD19" s="317"/>
      <c r="AE19" s="317">
        <f t="shared" si="12"/>
        <v>37534.945448483588</v>
      </c>
      <c r="AF19" s="317"/>
      <c r="AG19" s="317">
        <f t="shared" si="13"/>
        <v>38848.668539180508</v>
      </c>
    </row>
    <row r="20" spans="1:34" ht="13.8">
      <c r="A20" s="306" t="s">
        <v>227</v>
      </c>
      <c r="B20" s="306"/>
      <c r="C20" s="328"/>
      <c r="D20" s="306"/>
      <c r="E20" s="317">
        <f>+Application!W836</f>
        <v>92000</v>
      </c>
      <c r="F20" s="317"/>
      <c r="G20" s="317">
        <f t="shared" si="0"/>
        <v>95219.999999999985</v>
      </c>
      <c r="H20" s="317"/>
      <c r="I20" s="317">
        <f t="shared" si="1"/>
        <v>98552.699999999983</v>
      </c>
      <c r="J20" s="317"/>
      <c r="K20" s="317">
        <f t="shared" si="2"/>
        <v>102002.04449999997</v>
      </c>
      <c r="L20" s="317"/>
      <c r="M20" s="317">
        <f t="shared" si="3"/>
        <v>105572.11605749997</v>
      </c>
      <c r="N20" s="317"/>
      <c r="O20" s="317">
        <f t="shared" si="4"/>
        <v>109267.14011951246</v>
      </c>
      <c r="P20" s="317"/>
      <c r="Q20" s="317">
        <f t="shared" si="5"/>
        <v>113091.4900236954</v>
      </c>
      <c r="R20" s="317"/>
      <c r="S20" s="317">
        <f t="shared" si="6"/>
        <v>117049.69217452472</v>
      </c>
      <c r="T20" s="317"/>
      <c r="U20" s="317">
        <f t="shared" si="7"/>
        <v>121146.43140063308</v>
      </c>
      <c r="V20" s="317"/>
      <c r="W20" s="317">
        <f t="shared" si="8"/>
        <v>125386.55649965523</v>
      </c>
      <c r="X20" s="317"/>
      <c r="Y20" s="317">
        <f t="shared" si="9"/>
        <v>129775.08597714316</v>
      </c>
      <c r="Z20" s="317"/>
      <c r="AA20" s="317">
        <f t="shared" si="10"/>
        <v>134317.21398634315</v>
      </c>
      <c r="AB20" s="317"/>
      <c r="AC20" s="317">
        <f t="shared" si="11"/>
        <v>139018.31647586514</v>
      </c>
      <c r="AD20" s="317"/>
      <c r="AE20" s="317">
        <f t="shared" si="12"/>
        <v>143883.95755252041</v>
      </c>
      <c r="AF20" s="317"/>
      <c r="AG20" s="317">
        <f t="shared" si="13"/>
        <v>148919.89606685861</v>
      </c>
    </row>
    <row r="21" spans="1:34" ht="13.8">
      <c r="A21" s="519" t="s">
        <v>2443</v>
      </c>
      <c r="B21" s="519"/>
      <c r="C21" s="328"/>
      <c r="D21" s="306"/>
      <c r="E21" s="327">
        <f>Application!W843</f>
        <v>0</v>
      </c>
      <c r="F21" s="317"/>
      <c r="G21" s="327">
        <f t="shared" si="0"/>
        <v>0</v>
      </c>
      <c r="H21" s="317"/>
      <c r="I21" s="327">
        <f t="shared" si="1"/>
        <v>0</v>
      </c>
      <c r="J21" s="317"/>
      <c r="K21" s="327">
        <f t="shared" si="2"/>
        <v>0</v>
      </c>
      <c r="L21" s="317"/>
      <c r="M21" s="327">
        <f t="shared" si="3"/>
        <v>0</v>
      </c>
      <c r="N21" s="317"/>
      <c r="O21" s="327">
        <f t="shared" si="4"/>
        <v>0</v>
      </c>
      <c r="P21" s="317"/>
      <c r="Q21" s="327">
        <f t="shared" si="5"/>
        <v>0</v>
      </c>
      <c r="R21" s="317"/>
      <c r="S21" s="327">
        <f t="shared" si="6"/>
        <v>0</v>
      </c>
      <c r="T21" s="317"/>
      <c r="U21" s="327">
        <f t="shared" si="7"/>
        <v>0</v>
      </c>
      <c r="V21" s="317"/>
      <c r="W21" s="327">
        <f t="shared" si="8"/>
        <v>0</v>
      </c>
      <c r="X21" s="317"/>
      <c r="Y21" s="327">
        <f t="shared" si="9"/>
        <v>0</v>
      </c>
      <c r="Z21" s="317"/>
      <c r="AA21" s="327">
        <f t="shared" si="10"/>
        <v>0</v>
      </c>
      <c r="AB21" s="317"/>
      <c r="AC21" s="327">
        <f t="shared" si="11"/>
        <v>0</v>
      </c>
      <c r="AD21" s="317"/>
      <c r="AE21" s="327">
        <f t="shared" si="12"/>
        <v>0</v>
      </c>
      <c r="AF21" s="317"/>
      <c r="AG21" s="327">
        <f t="shared" si="13"/>
        <v>0</v>
      </c>
    </row>
    <row r="22" spans="1:34" ht="14.1">
      <c r="A22" s="318" t="s">
        <v>2444</v>
      </c>
      <c r="B22" s="318"/>
      <c r="C22" s="328"/>
      <c r="D22" s="318"/>
      <c r="E22" s="318">
        <f>SUM(E15:E21)</f>
        <v>345200</v>
      </c>
      <c r="F22" s="318"/>
      <c r="G22" s="318">
        <f>SUM(G15:G21)</f>
        <v>357281.99999999994</v>
      </c>
      <c r="H22" s="318"/>
      <c r="I22" s="318">
        <f>SUM(I15:I21)</f>
        <v>369786.86999999988</v>
      </c>
      <c r="J22" s="318"/>
      <c r="K22" s="318">
        <f>SUM(K15:K21)</f>
        <v>382729.41044999991</v>
      </c>
      <c r="L22" s="318"/>
      <c r="M22" s="318">
        <f>SUM(M15:M21)</f>
        <v>396124.93981574982</v>
      </c>
      <c r="N22" s="318"/>
      <c r="O22" s="318">
        <f>SUM(O15:O21)</f>
        <v>409989.31270930107</v>
      </c>
      <c r="P22" s="318"/>
      <c r="Q22" s="318">
        <f>SUM(Q15:Q21)</f>
        <v>424338.9386541266</v>
      </c>
      <c r="R22" s="318"/>
      <c r="S22" s="318">
        <f>SUM(S15:S21)</f>
        <v>439190.80150702101</v>
      </c>
      <c r="T22" s="318"/>
      <c r="U22" s="318">
        <f>SUM(U15:U21)</f>
        <v>454562.47955976671</v>
      </c>
      <c r="V22" s="318"/>
      <c r="W22" s="318">
        <f>SUM(W15:W21)</f>
        <v>470472.16634435853</v>
      </c>
      <c r="X22" s="318"/>
      <c r="Y22" s="318">
        <f>SUM(Y15:Y21)</f>
        <v>486938.69216641097</v>
      </c>
      <c r="Z22" s="318"/>
      <c r="AA22" s="318">
        <f>SUM(AA15:AA21)</f>
        <v>503981.54639223532</v>
      </c>
      <c r="AB22" s="318"/>
      <c r="AC22" s="318">
        <f>SUM(AC15:AC21)</f>
        <v>521620.90051596356</v>
      </c>
      <c r="AD22" s="318"/>
      <c r="AE22" s="318">
        <f>SUM(AE15:AE21)</f>
        <v>539877.63203402224</v>
      </c>
      <c r="AF22" s="318"/>
      <c r="AG22" s="318">
        <f>SUM(AG15:AG21)</f>
        <v>558773.34915521299</v>
      </c>
    </row>
    <row r="23" spans="1:34" ht="14.1">
      <c r="A23" s="318"/>
      <c r="B23" s="318"/>
      <c r="C23" s="32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318"/>
      <c r="AE23" s="318"/>
      <c r="AF23" s="318"/>
      <c r="AG23" s="318"/>
    </row>
    <row r="24" spans="1:34" ht="14.1">
      <c r="A24" s="519" t="s">
        <v>2445</v>
      </c>
      <c r="B24" s="519"/>
      <c r="C24" s="723"/>
      <c r="D24" s="519"/>
      <c r="E24" s="724">
        <v>0</v>
      </c>
      <c r="F24" s="318"/>
      <c r="G24" s="314">
        <f>E24*$C$24</f>
        <v>0</v>
      </c>
      <c r="H24" s="314"/>
      <c r="I24" s="314">
        <f>G24*$C$24</f>
        <v>0</v>
      </c>
      <c r="J24" s="314"/>
      <c r="K24" s="314">
        <f>I24*$C$24</f>
        <v>0</v>
      </c>
      <c r="L24" s="314"/>
      <c r="M24" s="314">
        <f>K24*$C$24</f>
        <v>0</v>
      </c>
      <c r="N24" s="314"/>
      <c r="O24" s="314">
        <f>M24*$C$24</f>
        <v>0</v>
      </c>
      <c r="P24" s="314"/>
      <c r="Q24" s="314">
        <f>O24*$C$24</f>
        <v>0</v>
      </c>
      <c r="R24" s="314"/>
      <c r="S24" s="314">
        <f>Q24*$C$24</f>
        <v>0</v>
      </c>
      <c r="T24" s="314"/>
      <c r="U24" s="314">
        <f>S24*$C$24</f>
        <v>0</v>
      </c>
      <c r="V24" s="314"/>
      <c r="W24" s="314">
        <f>U24*$C$24</f>
        <v>0</v>
      </c>
      <c r="X24" s="314"/>
      <c r="Y24" s="314">
        <f>W24*$C$24</f>
        <v>0</v>
      </c>
      <c r="Z24" s="314"/>
      <c r="AA24" s="314">
        <f>Y24*$C$24</f>
        <v>0</v>
      </c>
      <c r="AB24" s="314"/>
      <c r="AC24" s="314">
        <f>AA24*$C$24</f>
        <v>0</v>
      </c>
      <c r="AD24" s="314"/>
      <c r="AE24" s="314">
        <f>AC24*$C$24</f>
        <v>0</v>
      </c>
      <c r="AF24" s="314"/>
      <c r="AG24" s="314">
        <f>AE24*$C$24</f>
        <v>0</v>
      </c>
    </row>
    <row r="25" spans="1:34" ht="13.8">
      <c r="A25" s="306"/>
      <c r="B25" s="306"/>
      <c r="C25" s="328"/>
      <c r="D25" s="306"/>
      <c r="E25" s="317"/>
      <c r="F25" s="317"/>
      <c r="G25" s="317"/>
      <c r="H25" s="317"/>
      <c r="I25" s="317"/>
      <c r="J25" s="317"/>
      <c r="K25" s="317"/>
      <c r="L25" s="317"/>
      <c r="M25" s="317"/>
      <c r="N25" s="317"/>
      <c r="O25" s="317"/>
      <c r="P25" s="317"/>
      <c r="Q25" s="317"/>
      <c r="R25" s="317"/>
      <c r="S25" s="317"/>
      <c r="T25" s="317"/>
      <c r="U25" s="317"/>
      <c r="V25" s="317"/>
      <c r="W25" s="317"/>
      <c r="X25" s="317"/>
      <c r="Y25" s="317"/>
      <c r="Z25" s="317"/>
      <c r="AA25" s="317"/>
      <c r="AB25" s="317"/>
      <c r="AC25" s="317"/>
      <c r="AD25" s="317"/>
      <c r="AE25" s="317"/>
      <c r="AF25" s="317"/>
      <c r="AG25" s="317"/>
    </row>
    <row r="26" spans="1:34" ht="13.8">
      <c r="A26" s="306" t="s">
        <v>2446</v>
      </c>
      <c r="B26" s="306"/>
      <c r="C26" s="337">
        <v>1.0349999999999999</v>
      </c>
      <c r="D26" s="306"/>
      <c r="E26" s="314">
        <f>Application!AC851</f>
        <v>7920</v>
      </c>
      <c r="F26" s="314"/>
      <c r="G26" s="314">
        <f>E26*$C$26</f>
        <v>8197.1999999999989</v>
      </c>
      <c r="H26" s="314"/>
      <c r="I26" s="314">
        <f>G26*$C$26</f>
        <v>8484.101999999999</v>
      </c>
      <c r="J26" s="314"/>
      <c r="K26" s="314">
        <f>I26*$C$26</f>
        <v>8781.0455699999984</v>
      </c>
      <c r="L26" s="314"/>
      <c r="M26" s="314">
        <f>K26*$C$26</f>
        <v>9088.3821649499969</v>
      </c>
      <c r="N26" s="314"/>
      <c r="O26" s="314">
        <f>M26*$C$26</f>
        <v>9406.475540723246</v>
      </c>
      <c r="P26" s="314"/>
      <c r="Q26" s="314">
        <f>O26*$C$26</f>
        <v>9735.7021846485586</v>
      </c>
      <c r="R26" s="314"/>
      <c r="S26" s="314">
        <f>Q26*$C$26</f>
        <v>10076.451761111257</v>
      </c>
      <c r="T26" s="314"/>
      <c r="U26" s="314">
        <f>S26*$C$26</f>
        <v>10429.127572750151</v>
      </c>
      <c r="V26" s="314"/>
      <c r="W26" s="314">
        <f>U26*$C$26</f>
        <v>10794.147037796405</v>
      </c>
      <c r="X26" s="314"/>
      <c r="Y26" s="314">
        <f>W26*$C$26</f>
        <v>11171.942184119278</v>
      </c>
      <c r="Z26" s="314"/>
      <c r="AA26" s="314">
        <f>Y26*$C$26</f>
        <v>11562.960160563453</v>
      </c>
      <c r="AB26" s="314"/>
      <c r="AC26" s="314">
        <f>AA26*$C$26</f>
        <v>11967.663766183172</v>
      </c>
      <c r="AD26" s="314"/>
      <c r="AE26" s="314">
        <f>AC26*$C$26</f>
        <v>12386.531997999582</v>
      </c>
      <c r="AF26" s="314"/>
      <c r="AG26" s="314">
        <f>AE26*$C$26</f>
        <v>12820.060617929566</v>
      </c>
    </row>
    <row r="27" spans="1:34" ht="13.8">
      <c r="A27" s="306" t="s">
        <v>2447</v>
      </c>
      <c r="B27" s="306"/>
      <c r="C27" s="337">
        <v>1.0349999999999999</v>
      </c>
      <c r="D27" s="306"/>
      <c r="E27" s="317">
        <f>Application!AC852</f>
        <v>0</v>
      </c>
      <c r="F27" s="317"/>
      <c r="G27" s="317">
        <f>E27*$C$27</f>
        <v>0</v>
      </c>
      <c r="H27" s="317"/>
      <c r="I27" s="317">
        <f>G27*$C$27</f>
        <v>0</v>
      </c>
      <c r="J27" s="317"/>
      <c r="K27" s="317">
        <f>I27*$C$27</f>
        <v>0</v>
      </c>
      <c r="L27" s="317"/>
      <c r="M27" s="317">
        <f>K27*$C$27</f>
        <v>0</v>
      </c>
      <c r="N27" s="317"/>
      <c r="O27" s="317">
        <f>M27*$C$27</f>
        <v>0</v>
      </c>
      <c r="P27" s="317"/>
      <c r="Q27" s="317">
        <f>O27*$C$27</f>
        <v>0</v>
      </c>
      <c r="R27" s="317"/>
      <c r="S27" s="317">
        <f>Q27*$C$27</f>
        <v>0</v>
      </c>
      <c r="T27" s="317"/>
      <c r="U27" s="317">
        <f>S27*$C$27</f>
        <v>0</v>
      </c>
      <c r="V27" s="317"/>
      <c r="W27" s="317">
        <f>U27*$C$27</f>
        <v>0</v>
      </c>
      <c r="X27" s="317"/>
      <c r="Y27" s="317">
        <f>W27*$C$27</f>
        <v>0</v>
      </c>
      <c r="Z27" s="317"/>
      <c r="AA27" s="317">
        <f>Y27*$C$27</f>
        <v>0</v>
      </c>
      <c r="AB27" s="317"/>
      <c r="AC27" s="317">
        <f>AA27*$C$27</f>
        <v>0</v>
      </c>
      <c r="AD27" s="317"/>
      <c r="AE27" s="317">
        <f>AC27*$C$27</f>
        <v>0</v>
      </c>
      <c r="AF27" s="317"/>
      <c r="AG27" s="317">
        <f>AE27*$C$27</f>
        <v>0</v>
      </c>
    </row>
    <row r="28" spans="1:34" ht="13.8">
      <c r="A28" s="519" t="s">
        <v>2448</v>
      </c>
      <c r="B28" s="306"/>
      <c r="C28" s="337">
        <v>1</v>
      </c>
      <c r="D28" s="306"/>
      <c r="E28" s="317">
        <f>+Application!AC853</f>
        <v>13200</v>
      </c>
      <c r="F28" s="317"/>
      <c r="G28" s="317">
        <f>$E$28</f>
        <v>13200</v>
      </c>
      <c r="H28" s="317"/>
      <c r="I28" s="317">
        <f>$E$28</f>
        <v>13200</v>
      </c>
      <c r="J28" s="317"/>
      <c r="K28" s="317">
        <f>$E$28</f>
        <v>13200</v>
      </c>
      <c r="L28" s="317"/>
      <c r="M28" s="317">
        <f>$E$28</f>
        <v>13200</v>
      </c>
      <c r="N28" s="317"/>
      <c r="O28" s="317">
        <f>$E$28</f>
        <v>13200</v>
      </c>
      <c r="P28" s="317"/>
      <c r="Q28" s="317">
        <f>$E$28</f>
        <v>13200</v>
      </c>
      <c r="R28" s="317"/>
      <c r="S28" s="317">
        <f>$E$28</f>
        <v>13200</v>
      </c>
      <c r="T28" s="317"/>
      <c r="U28" s="317">
        <f>$E$28</f>
        <v>13200</v>
      </c>
      <c r="V28" s="317"/>
      <c r="W28" s="317">
        <f>$E$28</f>
        <v>13200</v>
      </c>
      <c r="X28" s="317"/>
      <c r="Y28" s="317">
        <f>$E$28</f>
        <v>13200</v>
      </c>
      <c r="Z28" s="317"/>
      <c r="AA28" s="317">
        <f>$E$28</f>
        <v>13200</v>
      </c>
      <c r="AB28" s="317"/>
      <c r="AC28" s="317">
        <f>$E$28</f>
        <v>13200</v>
      </c>
      <c r="AD28" s="317"/>
      <c r="AE28" s="317">
        <f>$E$28</f>
        <v>13200</v>
      </c>
      <c r="AF28" s="317"/>
      <c r="AG28" s="317">
        <f>$E$28</f>
        <v>13200</v>
      </c>
    </row>
    <row r="29" spans="1:34" ht="13.8">
      <c r="A29" s="519" t="s">
        <v>2449</v>
      </c>
      <c r="B29" s="306"/>
      <c r="C29" s="337">
        <v>1</v>
      </c>
      <c r="D29" s="306"/>
      <c r="E29" s="317">
        <f>+Application!AC854</f>
        <v>5500</v>
      </c>
      <c r="F29" s="317"/>
      <c r="G29" s="317">
        <f>$E$29</f>
        <v>5500</v>
      </c>
      <c r="H29" s="317"/>
      <c r="I29" s="317">
        <f>$E$29</f>
        <v>5500</v>
      </c>
      <c r="J29" s="317"/>
      <c r="K29" s="317">
        <f>$E$29</f>
        <v>5500</v>
      </c>
      <c r="L29" s="317"/>
      <c r="M29" s="317">
        <f>$E$29</f>
        <v>5500</v>
      </c>
      <c r="N29" s="317"/>
      <c r="O29" s="317">
        <f>$E$29</f>
        <v>5500</v>
      </c>
      <c r="P29" s="317"/>
      <c r="Q29" s="317">
        <f>$E$29</f>
        <v>5500</v>
      </c>
      <c r="R29" s="317"/>
      <c r="S29" s="317">
        <f>$E$29</f>
        <v>5500</v>
      </c>
      <c r="T29" s="317"/>
      <c r="U29" s="317">
        <f>$E$29</f>
        <v>5500</v>
      </c>
      <c r="V29" s="317"/>
      <c r="W29" s="317">
        <f>$E$29</f>
        <v>5500</v>
      </c>
      <c r="X29" s="317"/>
      <c r="Y29" s="317">
        <f>$E$29</f>
        <v>5500</v>
      </c>
      <c r="Z29" s="317"/>
      <c r="AA29" s="317">
        <f>$E$29</f>
        <v>5500</v>
      </c>
      <c r="AB29" s="317"/>
      <c r="AC29" s="317">
        <f>$E$29</f>
        <v>5500</v>
      </c>
      <c r="AD29" s="317"/>
      <c r="AE29" s="317">
        <f>$E$29</f>
        <v>5500</v>
      </c>
      <c r="AF29" s="317"/>
      <c r="AG29" s="317">
        <f>$E$29</f>
        <v>5500</v>
      </c>
    </row>
    <row r="30" spans="1:34" ht="13.8">
      <c r="A30" s="519" t="s">
        <v>2450</v>
      </c>
      <c r="B30" s="306"/>
      <c r="C30" s="337">
        <v>1.02</v>
      </c>
      <c r="D30" s="306"/>
      <c r="E30" s="317">
        <f>+Application!AC855</f>
        <v>0</v>
      </c>
      <c r="F30" s="317"/>
      <c r="G30" s="317">
        <f>E30*$C$30</f>
        <v>0</v>
      </c>
      <c r="H30" s="317"/>
      <c r="I30" s="317">
        <f>G30*$C$30</f>
        <v>0</v>
      </c>
      <c r="J30" s="317"/>
      <c r="K30" s="317">
        <f>I30*$C$30</f>
        <v>0</v>
      </c>
      <c r="L30" s="317"/>
      <c r="M30" s="317">
        <f>K30*$C$30</f>
        <v>0</v>
      </c>
      <c r="N30" s="317"/>
      <c r="O30" s="317">
        <f>M30*$C$30</f>
        <v>0</v>
      </c>
      <c r="P30" s="317"/>
      <c r="Q30" s="317">
        <f>O30*$C$30</f>
        <v>0</v>
      </c>
      <c r="R30" s="317"/>
      <c r="S30" s="317">
        <f>Q30*$C$30</f>
        <v>0</v>
      </c>
      <c r="T30" s="317"/>
      <c r="U30" s="317">
        <f>S30*$C$30</f>
        <v>0</v>
      </c>
      <c r="V30" s="317"/>
      <c r="W30" s="317">
        <f>U30*$C$30</f>
        <v>0</v>
      </c>
      <c r="X30" s="317"/>
      <c r="Y30" s="317">
        <f>W30*$C$30</f>
        <v>0</v>
      </c>
      <c r="Z30" s="317"/>
      <c r="AA30" s="317">
        <f>Y30*$C$30</f>
        <v>0</v>
      </c>
      <c r="AB30" s="317"/>
      <c r="AC30" s="317">
        <f>AA30*$C$30</f>
        <v>0</v>
      </c>
      <c r="AD30" s="317"/>
      <c r="AE30" s="317">
        <f>AC30*$C$30</f>
        <v>0</v>
      </c>
      <c r="AF30" s="317"/>
      <c r="AG30" s="317">
        <f>AE30*$C$30</f>
        <v>0</v>
      </c>
    </row>
    <row r="31" spans="1:34" ht="13.8">
      <c r="A31" s="519" t="s">
        <v>2451</v>
      </c>
      <c r="B31" s="306"/>
      <c r="C31" s="337">
        <v>1.02</v>
      </c>
      <c r="D31" s="306"/>
      <c r="E31" s="317">
        <f>+Application!AC856</f>
        <v>5000</v>
      </c>
      <c r="F31" s="317"/>
      <c r="G31" s="317">
        <f>E31*$C$31</f>
        <v>5100</v>
      </c>
      <c r="H31" s="317"/>
      <c r="I31" s="317">
        <f>G31*$C$31</f>
        <v>5202</v>
      </c>
      <c r="J31" s="317"/>
      <c r="K31" s="317">
        <f>I31*$C$31</f>
        <v>5306.04</v>
      </c>
      <c r="L31" s="317"/>
      <c r="M31" s="317">
        <f>K31*$C$31</f>
        <v>5412.1607999999997</v>
      </c>
      <c r="N31" s="317"/>
      <c r="O31" s="317">
        <f>M31*$C$31</f>
        <v>5520.4040159999995</v>
      </c>
      <c r="P31" s="317"/>
      <c r="Q31" s="317">
        <f>O31*$C$31</f>
        <v>5630.8120963199999</v>
      </c>
      <c r="R31" s="317"/>
      <c r="S31" s="317">
        <f>Q31*$C$31</f>
        <v>5743.4283382464</v>
      </c>
      <c r="T31" s="317"/>
      <c r="U31" s="317">
        <f>S31*$C$31</f>
        <v>5858.2969050113279</v>
      </c>
      <c r="V31" s="317"/>
      <c r="W31" s="317">
        <f>U31*$C$31</f>
        <v>5975.4628431115543</v>
      </c>
      <c r="X31" s="317"/>
      <c r="Y31" s="317">
        <f>W31*$C$31</f>
        <v>6094.9720999737856</v>
      </c>
      <c r="Z31" s="317"/>
      <c r="AA31" s="317">
        <f>Y31*$C$31</f>
        <v>6216.8715419732616</v>
      </c>
      <c r="AB31" s="317"/>
      <c r="AC31" s="317">
        <f>AA31*$C$31</f>
        <v>6341.2089728127266</v>
      </c>
      <c r="AD31" s="317"/>
      <c r="AE31" s="317">
        <f>AC31*$C$31</f>
        <v>6468.0331522689812</v>
      </c>
      <c r="AF31" s="317"/>
      <c r="AG31" s="317">
        <f>AE31*$C$31</f>
        <v>6597.3938153143608</v>
      </c>
    </row>
    <row r="32" spans="1:34" ht="13.8">
      <c r="A32" s="306" t="str">
        <f>Application!E857</f>
        <v>Other (Specify):</v>
      </c>
      <c r="B32" s="306"/>
      <c r="C32" s="413">
        <v>1</v>
      </c>
      <c r="D32" s="306"/>
      <c r="E32" s="317">
        <f>Application!AC857</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3.8">
      <c r="A33" s="306" t="str">
        <f>Application!E858</f>
        <v>Other (Specify):</v>
      </c>
      <c r="B33" s="306"/>
      <c r="C33" s="413">
        <f>+C32</f>
        <v>1</v>
      </c>
      <c r="D33" s="306"/>
      <c r="E33" s="317">
        <f>Application!AC858</f>
        <v>0</v>
      </c>
      <c r="F33" s="317"/>
      <c r="G33" s="317">
        <f>E33*$C$33</f>
        <v>0</v>
      </c>
      <c r="H33" s="317"/>
      <c r="I33" s="317">
        <f>G33*$C$33</f>
        <v>0</v>
      </c>
      <c r="J33" s="317"/>
      <c r="K33" s="317">
        <f>I33*$C$33</f>
        <v>0</v>
      </c>
      <c r="L33" s="317"/>
      <c r="M33" s="317">
        <f>K33*$C$33</f>
        <v>0</v>
      </c>
      <c r="N33" s="317"/>
      <c r="O33" s="317">
        <f>M33*$C$33</f>
        <v>0</v>
      </c>
      <c r="P33" s="317"/>
      <c r="Q33" s="317">
        <f>O33*$C$33</f>
        <v>0</v>
      </c>
      <c r="R33" s="317"/>
      <c r="S33" s="317">
        <f>Q33*$C$33</f>
        <v>0</v>
      </c>
      <c r="T33" s="317"/>
      <c r="U33" s="317">
        <f>S33*$C$33</f>
        <v>0</v>
      </c>
      <c r="V33" s="317"/>
      <c r="W33" s="317">
        <f>U33*$C$33</f>
        <v>0</v>
      </c>
      <c r="X33" s="317"/>
      <c r="Y33" s="317">
        <f>W33*$C$33</f>
        <v>0</v>
      </c>
      <c r="Z33" s="317"/>
      <c r="AA33" s="317">
        <f>Y33*$C$33</f>
        <v>0</v>
      </c>
      <c r="AB33" s="317"/>
      <c r="AC33" s="317">
        <f>AA33*$C$33</f>
        <v>0</v>
      </c>
      <c r="AD33" s="317"/>
      <c r="AE33" s="317">
        <f>AC33*$C$33</f>
        <v>0</v>
      </c>
      <c r="AF33" s="317"/>
      <c r="AG33" s="317">
        <f>AE33*$C$33</f>
        <v>0</v>
      </c>
    </row>
    <row r="34" spans="1:35" ht="13.8">
      <c r="A34" s="306"/>
      <c r="B34" s="306"/>
      <c r="C34" s="315"/>
      <c r="D34" s="306"/>
      <c r="E34" s="317"/>
      <c r="F34" s="317"/>
      <c r="G34" s="317"/>
      <c r="H34" s="317"/>
      <c r="I34" s="317"/>
      <c r="J34" s="317"/>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row>
    <row r="35" spans="1:35" ht="14.1">
      <c r="A35" s="318" t="s">
        <v>1534</v>
      </c>
      <c r="B35" s="318"/>
      <c r="C35" s="319"/>
      <c r="D35" s="318"/>
      <c r="E35" s="318">
        <f>SUM(E22:E33)</f>
        <v>376820</v>
      </c>
      <c r="F35" s="318"/>
      <c r="G35" s="318">
        <f>SUM(G22:G33)</f>
        <v>389279.19999999995</v>
      </c>
      <c r="H35" s="318"/>
      <c r="I35" s="318">
        <f>SUM(I22:I33)</f>
        <v>402172.97199999989</v>
      </c>
      <c r="J35" s="318"/>
      <c r="K35" s="318">
        <f>SUM(K22:K33)</f>
        <v>415516.4960199999</v>
      </c>
      <c r="L35" s="318"/>
      <c r="M35" s="318">
        <f>SUM(M22:M33)</f>
        <v>429325.48278069985</v>
      </c>
      <c r="N35" s="318"/>
      <c r="O35" s="318">
        <f>SUM(O22:O33)</f>
        <v>443616.1922660243</v>
      </c>
      <c r="P35" s="318"/>
      <c r="Q35" s="318">
        <f>SUM(Q22:Q33)</f>
        <v>458405.45293509512</v>
      </c>
      <c r="R35" s="318"/>
      <c r="S35" s="318">
        <f>SUM(S22:S33)</f>
        <v>473710.6816063787</v>
      </c>
      <c r="T35" s="318"/>
      <c r="U35" s="318">
        <f>SUM(U22:U33)</f>
        <v>489549.90403752821</v>
      </c>
      <c r="V35" s="318"/>
      <c r="W35" s="318">
        <f>SUM(W22:W33)</f>
        <v>505941.77622526645</v>
      </c>
      <c r="X35" s="318"/>
      <c r="Y35" s="318">
        <f>SUM(Y22:Y33)</f>
        <v>522905.60645050398</v>
      </c>
      <c r="Z35" s="318"/>
      <c r="AA35" s="318">
        <f>SUM(AA22:AA33)</f>
        <v>540461.37809477211</v>
      </c>
      <c r="AB35" s="318"/>
      <c r="AC35" s="318">
        <f>SUM(AC22:AC33)</f>
        <v>558629.77325495949</v>
      </c>
      <c r="AD35" s="318"/>
      <c r="AE35" s="318">
        <f>SUM(AE22:AE33)</f>
        <v>577432.19718429074</v>
      </c>
      <c r="AF35" s="318"/>
      <c r="AG35" s="318">
        <f>SUM(AG22:AG33)</f>
        <v>596890.80358845694</v>
      </c>
    </row>
    <row r="36" spans="1:35" ht="13.8">
      <c r="A36" s="306"/>
      <c r="B36" s="306"/>
      <c r="C36" s="315"/>
      <c r="D36" s="306"/>
      <c r="E36" s="317"/>
      <c r="F36" s="317"/>
      <c r="G36" s="317"/>
      <c r="H36" s="317"/>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row>
    <row r="37" spans="1:35" ht="14.1">
      <c r="A37" s="318" t="s">
        <v>2452</v>
      </c>
      <c r="B37" s="318"/>
      <c r="C37" s="319"/>
      <c r="D37" s="318"/>
      <c r="E37" s="318">
        <f>E11-E35</f>
        <v>279989.20000000007</v>
      </c>
      <c r="F37" s="318"/>
      <c r="G37" s="318">
        <f>G11-G35</f>
        <v>283950.22999999986</v>
      </c>
      <c r="H37" s="318"/>
      <c r="I37" s="318">
        <f>I11-I35</f>
        <v>287887.19375000003</v>
      </c>
      <c r="J37" s="318"/>
      <c r="K37" s="318">
        <f>K11-K35</f>
        <v>291795.17387374997</v>
      </c>
      <c r="L37" s="318"/>
      <c r="M37" s="318">
        <f>M11-M35</f>
        <v>295668.97886039363</v>
      </c>
      <c r="N37" s="318"/>
      <c r="O37" s="318">
        <f>O11-O35</f>
        <v>299503.13091609639</v>
      </c>
      <c r="P37" s="318"/>
      <c r="Q37" s="318">
        <f>Q11-Q35</f>
        <v>303291.85332657845</v>
      </c>
      <c r="R37" s="318"/>
      <c r="S37" s="318">
        <f>S11-S35</f>
        <v>307029.0573118368</v>
      </c>
      <c r="T37" s="318"/>
      <c r="U37" s="318">
        <f>U11-U35</f>
        <v>310708.3283536426</v>
      </c>
      <c r="V37" s="318"/>
      <c r="W37" s="318">
        <f>W11-W35</f>
        <v>314322.91197568359</v>
      </c>
      <c r="X37" s="318"/>
      <c r="Y37" s="318">
        <f>Y11-Y35</f>
        <v>317865.69895546971</v>
      </c>
      <c r="Z37" s="318"/>
      <c r="AA37" s="318">
        <f>AA11-AA35</f>
        <v>321329.20994635089</v>
      </c>
      <c r="AB37" s="318"/>
      <c r="AC37" s="318">
        <f>AC11-AC35</f>
        <v>324705.5794871914</v>
      </c>
      <c r="AD37" s="318"/>
      <c r="AE37" s="318">
        <f>AE11-AE35</f>
        <v>327986.53937641403</v>
      </c>
      <c r="AF37" s="318"/>
      <c r="AG37" s="318">
        <f>AG11-AG35</f>
        <v>331163.40138626529</v>
      </c>
    </row>
    <row r="38" spans="1:35" ht="13.8">
      <c r="A38" s="306"/>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4.1">
      <c r="A39" s="313" t="s">
        <v>2453</v>
      </c>
      <c r="B39" s="306"/>
      <c r="C39" s="315"/>
      <c r="D39" s="306"/>
      <c r="E39" s="317"/>
      <c r="F39" s="317"/>
      <c r="G39" s="317"/>
      <c r="H39" s="317"/>
      <c r="I39" s="317"/>
      <c r="J39" s="317"/>
      <c r="K39" s="317"/>
      <c r="L39" s="317"/>
      <c r="M39" s="317"/>
      <c r="N39" s="317"/>
      <c r="O39" s="317"/>
      <c r="P39" s="317"/>
      <c r="Q39" s="317"/>
      <c r="R39" s="317"/>
      <c r="S39" s="317"/>
      <c r="T39" s="317"/>
      <c r="U39" s="317"/>
      <c r="V39" s="317"/>
      <c r="W39" s="317"/>
      <c r="X39" s="317"/>
      <c r="Y39" s="317"/>
      <c r="Z39" s="317"/>
      <c r="AA39" s="317"/>
      <c r="AB39" s="317"/>
      <c r="AC39" s="317"/>
      <c r="AD39" s="317"/>
      <c r="AE39" s="317"/>
      <c r="AF39" s="317"/>
      <c r="AG39" s="317"/>
    </row>
    <row r="40" spans="1:35" ht="13.8">
      <c r="A40" s="320" t="s">
        <v>2454</v>
      </c>
      <c r="B40" s="321"/>
      <c r="C40" s="315"/>
      <c r="D40" s="306"/>
      <c r="E40" s="314">
        <v>233324</v>
      </c>
      <c r="F40" s="314"/>
      <c r="G40" s="314">
        <f>$E$40</f>
        <v>233324</v>
      </c>
      <c r="H40" s="314"/>
      <c r="I40" s="314">
        <f>$E$40</f>
        <v>233324</v>
      </c>
      <c r="J40" s="314"/>
      <c r="K40" s="314">
        <f>$E$40</f>
        <v>233324</v>
      </c>
      <c r="L40" s="314"/>
      <c r="M40" s="314">
        <f>$E$40</f>
        <v>233324</v>
      </c>
      <c r="N40" s="314"/>
      <c r="O40" s="314">
        <f>$E$40</f>
        <v>233324</v>
      </c>
      <c r="P40" s="314"/>
      <c r="Q40" s="314">
        <f>$E$40</f>
        <v>233324</v>
      </c>
      <c r="R40" s="314"/>
      <c r="S40" s="314">
        <f>$E$40</f>
        <v>233324</v>
      </c>
      <c r="T40" s="314"/>
      <c r="U40" s="314">
        <f>$E$40</f>
        <v>233324</v>
      </c>
      <c r="V40" s="314"/>
      <c r="W40" s="314">
        <f>$E$40</f>
        <v>233324</v>
      </c>
      <c r="X40" s="314"/>
      <c r="Y40" s="314">
        <f>$E$40</f>
        <v>233324</v>
      </c>
      <c r="Z40" s="314"/>
      <c r="AA40" s="314">
        <f>$E$40</f>
        <v>233324</v>
      </c>
      <c r="AB40" s="314"/>
      <c r="AC40" s="314">
        <f>$E$40</f>
        <v>233324</v>
      </c>
      <c r="AD40" s="314"/>
      <c r="AE40" s="314">
        <f>$E$40</f>
        <v>233324</v>
      </c>
      <c r="AF40" s="314"/>
      <c r="AG40" s="314">
        <f>$E$40</f>
        <v>233324</v>
      </c>
      <c r="AH40" s="306"/>
      <c r="AI40" s="306"/>
    </row>
    <row r="41" spans="1:35" ht="13.8">
      <c r="A41" s="320"/>
      <c r="B41" s="321"/>
      <c r="C41" s="315"/>
      <c r="D41" s="306"/>
      <c r="E41" s="317">
        <v>0</v>
      </c>
      <c r="F41" s="317"/>
      <c r="G41" s="317">
        <f>$E$41</f>
        <v>0</v>
      </c>
      <c r="H41" s="317"/>
      <c r="I41" s="317">
        <f>$E$41</f>
        <v>0</v>
      </c>
      <c r="J41" s="317"/>
      <c r="K41" s="317">
        <f>$E$41</f>
        <v>0</v>
      </c>
      <c r="L41" s="317"/>
      <c r="M41" s="317">
        <f>$E$41</f>
        <v>0</v>
      </c>
      <c r="N41" s="317"/>
      <c r="O41" s="317">
        <f>$E$41</f>
        <v>0</v>
      </c>
      <c r="P41" s="317"/>
      <c r="Q41" s="317">
        <f>$E$41</f>
        <v>0</v>
      </c>
      <c r="R41" s="317"/>
      <c r="S41" s="317">
        <f>$E$41</f>
        <v>0</v>
      </c>
      <c r="T41" s="317"/>
      <c r="U41" s="317">
        <f>$E$41</f>
        <v>0</v>
      </c>
      <c r="V41" s="317"/>
      <c r="W41" s="317">
        <f>$E$41</f>
        <v>0</v>
      </c>
      <c r="X41" s="317"/>
      <c r="Y41" s="317">
        <f>$E$41</f>
        <v>0</v>
      </c>
      <c r="Z41" s="317"/>
      <c r="AA41" s="317">
        <f>$E$41</f>
        <v>0</v>
      </c>
      <c r="AB41" s="317"/>
      <c r="AC41" s="317">
        <f>$E$41</f>
        <v>0</v>
      </c>
      <c r="AD41" s="317"/>
      <c r="AE41" s="317">
        <f>$E$41</f>
        <v>0</v>
      </c>
      <c r="AF41" s="317"/>
      <c r="AG41" s="317">
        <f>$E$41</f>
        <v>0</v>
      </c>
      <c r="AH41" s="306"/>
      <c r="AI41" s="306"/>
    </row>
    <row r="42" spans="1:35" ht="13.8">
      <c r="A42" s="320"/>
      <c r="B42" s="321"/>
      <c r="C42" s="315"/>
      <c r="D42" s="306"/>
      <c r="E42" s="327">
        <v>0</v>
      </c>
      <c r="F42" s="317"/>
      <c r="G42" s="327">
        <f>$E$42</f>
        <v>0</v>
      </c>
      <c r="H42" s="317"/>
      <c r="I42" s="327">
        <f>$E$42</f>
        <v>0</v>
      </c>
      <c r="J42" s="317"/>
      <c r="K42" s="327">
        <f>$E$42</f>
        <v>0</v>
      </c>
      <c r="L42" s="317"/>
      <c r="M42" s="327">
        <f>$E$42</f>
        <v>0</v>
      </c>
      <c r="N42" s="317"/>
      <c r="O42" s="327">
        <f>$E$42</f>
        <v>0</v>
      </c>
      <c r="P42" s="317"/>
      <c r="Q42" s="327">
        <f>$E$42</f>
        <v>0</v>
      </c>
      <c r="R42" s="317"/>
      <c r="S42" s="327">
        <f>$E$42</f>
        <v>0</v>
      </c>
      <c r="T42" s="317"/>
      <c r="U42" s="327">
        <f>$E$42</f>
        <v>0</v>
      </c>
      <c r="V42" s="317"/>
      <c r="W42" s="327">
        <f>$E$42</f>
        <v>0</v>
      </c>
      <c r="X42" s="317"/>
      <c r="Y42" s="327">
        <f>$E$42</f>
        <v>0</v>
      </c>
      <c r="Z42" s="317"/>
      <c r="AA42" s="327">
        <f>$E$42</f>
        <v>0</v>
      </c>
      <c r="AB42" s="317"/>
      <c r="AC42" s="327">
        <f>$E$42</f>
        <v>0</v>
      </c>
      <c r="AD42" s="317"/>
      <c r="AE42" s="327">
        <f>$E$42</f>
        <v>0</v>
      </c>
      <c r="AF42" s="317"/>
      <c r="AG42" s="327">
        <f>$E$42</f>
        <v>0</v>
      </c>
      <c r="AH42" s="306"/>
      <c r="AI42" s="306"/>
    </row>
    <row r="43" spans="1:35" ht="14.1">
      <c r="A43" s="318" t="s">
        <v>2455</v>
      </c>
      <c r="B43" s="318"/>
      <c r="C43" s="319"/>
      <c r="D43" s="318"/>
      <c r="E43" s="318">
        <f>SUM(E40:E42)</f>
        <v>233324</v>
      </c>
      <c r="F43" s="318"/>
      <c r="G43" s="318">
        <f>SUM(G40:G42)</f>
        <v>233324</v>
      </c>
      <c r="H43" s="318"/>
      <c r="I43" s="318">
        <f>SUM(I40:I42)</f>
        <v>233324</v>
      </c>
      <c r="J43" s="318"/>
      <c r="K43" s="318">
        <f>SUM(K40:K42)</f>
        <v>233324</v>
      </c>
      <c r="L43" s="318"/>
      <c r="M43" s="318">
        <f>SUM(M40:M42)</f>
        <v>233324</v>
      </c>
      <c r="N43" s="318"/>
      <c r="O43" s="318">
        <f>SUM(O40:O42)</f>
        <v>233324</v>
      </c>
      <c r="P43" s="318"/>
      <c r="Q43" s="318">
        <f>SUM(Q40:Q42)</f>
        <v>233324</v>
      </c>
      <c r="R43" s="318"/>
      <c r="S43" s="318">
        <f>SUM(S40:S42)</f>
        <v>233324</v>
      </c>
      <c r="T43" s="318"/>
      <c r="U43" s="318">
        <f>SUM(U40:U42)</f>
        <v>233324</v>
      </c>
      <c r="V43" s="318"/>
      <c r="W43" s="318">
        <f>SUM(W40:W42)</f>
        <v>233324</v>
      </c>
      <c r="X43" s="318"/>
      <c r="Y43" s="318">
        <f>SUM(Y40:Y42)</f>
        <v>233324</v>
      </c>
      <c r="Z43" s="318"/>
      <c r="AA43" s="318">
        <f>SUM(AA40:AA42)</f>
        <v>233324</v>
      </c>
      <c r="AB43" s="318"/>
      <c r="AC43" s="318">
        <f>SUM(AC40:AC42)</f>
        <v>233324</v>
      </c>
      <c r="AD43" s="318"/>
      <c r="AE43" s="318">
        <f>SUM(AE40:AE42)</f>
        <v>233324</v>
      </c>
      <c r="AF43" s="318"/>
      <c r="AG43" s="318">
        <f>SUM(AG40:AG42)</f>
        <v>233324</v>
      </c>
      <c r="AH43" s="318"/>
      <c r="AI43" s="318"/>
    </row>
    <row r="44" spans="1:35" ht="13.8">
      <c r="A44" s="306"/>
      <c r="B44" s="306"/>
      <c r="C44" s="315"/>
      <c r="D44" s="306"/>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c r="AC44" s="317"/>
      <c r="AD44" s="317"/>
      <c r="AE44" s="317"/>
      <c r="AF44" s="317"/>
      <c r="AG44" s="317"/>
      <c r="AH44" s="306"/>
      <c r="AI44" s="306"/>
    </row>
    <row r="45" spans="1:35" ht="14.1">
      <c r="A45" s="318" t="s">
        <v>2456</v>
      </c>
      <c r="B45" s="318"/>
      <c r="C45" s="319"/>
      <c r="D45" s="318"/>
      <c r="E45" s="318">
        <f>E37-E43</f>
        <v>46665.20000000007</v>
      </c>
      <c r="F45" s="318"/>
      <c r="G45" s="318">
        <f>G37-G43</f>
        <v>50626.229999999865</v>
      </c>
      <c r="H45" s="318"/>
      <c r="I45" s="318">
        <f>I37-I43</f>
        <v>54563.193750000035</v>
      </c>
      <c r="J45" s="318"/>
      <c r="K45" s="318">
        <f>K37-K43</f>
        <v>58471.173873749969</v>
      </c>
      <c r="L45" s="318"/>
      <c r="M45" s="318">
        <f>M37-M43</f>
        <v>62344.978860393632</v>
      </c>
      <c r="N45" s="318"/>
      <c r="O45" s="318">
        <f>O37-O43</f>
        <v>66179.130916096386</v>
      </c>
      <c r="P45" s="318"/>
      <c r="Q45" s="318">
        <f>Q37-Q43</f>
        <v>69967.85332657845</v>
      </c>
      <c r="R45" s="318"/>
      <c r="S45" s="318">
        <f>S37-S43</f>
        <v>73705.057311836805</v>
      </c>
      <c r="T45" s="318"/>
      <c r="U45" s="318">
        <f>U37-U43</f>
        <v>77384.328353642602</v>
      </c>
      <c r="V45" s="318"/>
      <c r="W45" s="318">
        <f>W37-W43</f>
        <v>80998.911975683586</v>
      </c>
      <c r="X45" s="318"/>
      <c r="Y45" s="318">
        <f>Y37-Y43</f>
        <v>84541.698955469707</v>
      </c>
      <c r="Z45" s="318"/>
      <c r="AA45" s="318">
        <f>AA37-AA43</f>
        <v>88005.209946350893</v>
      </c>
      <c r="AB45" s="318"/>
      <c r="AC45" s="318">
        <f>AC37-AC43</f>
        <v>91381.579487191397</v>
      </c>
      <c r="AD45" s="318"/>
      <c r="AE45" s="318">
        <f>AE37-AE43</f>
        <v>94662.539376414032</v>
      </c>
      <c r="AF45" s="318"/>
      <c r="AG45" s="318">
        <f>AG37-AG43</f>
        <v>97839.401386265294</v>
      </c>
      <c r="AH45" s="318"/>
      <c r="AI45" s="318"/>
    </row>
    <row r="46" spans="1:35" ht="13.8">
      <c r="A46" s="306"/>
      <c r="B46" s="306"/>
      <c r="C46" s="315"/>
      <c r="D46" s="306"/>
      <c r="E46" s="317"/>
      <c r="F46" s="317"/>
      <c r="G46" s="317"/>
      <c r="H46" s="317"/>
      <c r="I46" s="317"/>
      <c r="J46" s="317"/>
      <c r="K46" s="317"/>
      <c r="L46" s="317"/>
      <c r="M46" s="317"/>
      <c r="N46" s="317"/>
      <c r="O46" s="317"/>
      <c r="P46" s="317"/>
      <c r="Q46" s="317"/>
      <c r="R46" s="317"/>
      <c r="S46" s="317"/>
      <c r="T46" s="317"/>
      <c r="U46" s="317"/>
      <c r="V46" s="317"/>
      <c r="W46" s="317"/>
      <c r="X46" s="317"/>
      <c r="Y46" s="317"/>
      <c r="Z46" s="317"/>
      <c r="AA46" s="317"/>
      <c r="AB46" s="317"/>
      <c r="AC46" s="317"/>
      <c r="AD46" s="317"/>
      <c r="AE46" s="317"/>
      <c r="AF46" s="317"/>
      <c r="AG46" s="317"/>
      <c r="AH46" s="306"/>
      <c r="AI46" s="306"/>
    </row>
    <row r="47" spans="1:35" ht="13.8">
      <c r="A47" s="322" t="s">
        <v>2457</v>
      </c>
      <c r="B47" s="322"/>
      <c r="C47" s="315"/>
      <c r="D47" s="322"/>
      <c r="E47" s="322">
        <f>E45/(E4+E6+E8)</f>
        <v>6.5719709772640314E-2</v>
      </c>
      <c r="F47" s="322"/>
      <c r="G47" s="322">
        <f>G45/(G4+G6+G8)</f>
        <v>6.9559143827090095E-2</v>
      </c>
      <c r="H47" s="322"/>
      <c r="I47" s="322">
        <f>I45/(I4+I6+I8)</f>
        <v>7.3139932898307627E-2</v>
      </c>
      <c r="J47" s="322"/>
      <c r="K47" s="322">
        <f>K45/(K4+K6+K8)</f>
        <v>7.6466765833714187E-2</v>
      </c>
      <c r="L47" s="322"/>
      <c r="M47" s="322">
        <f>M45/(M4+M6+M8)</f>
        <v>7.9544201365793391E-2</v>
      </c>
      <c r="N47" s="322"/>
      <c r="O47" s="322">
        <f>O45/(O4+O6+O8)</f>
        <v>8.2376671131705534E-2</v>
      </c>
      <c r="P47" s="322"/>
      <c r="Q47" s="322">
        <f>Q45/(Q4+Q6+Q8)</f>
        <v>8.4968482617754013E-2</v>
      </c>
      <c r="R47" s="322"/>
      <c r="S47" s="322">
        <f>S45/(S4+S6+S8)</f>
        <v>8.7323822030520193E-2</v>
      </c>
      <c r="T47" s="322"/>
      <c r="U47" s="322">
        <f>U45/(U4+U6+U8)</f>
        <v>8.9446757096439899E-2</v>
      </c>
      <c r="V47" s="322"/>
      <c r="W47" s="322">
        <f>W45/(W4+W6+W8)</f>
        <v>9.1341239791554077E-2</v>
      </c>
      <c r="X47" s="322"/>
      <c r="Y47" s="322">
        <f>Y45/(Y4+Y6+Y8)</f>
        <v>9.3011109003118764E-2</v>
      </c>
      <c r="Z47" s="322"/>
      <c r="AA47" s="322">
        <f>AA45/(AA4+AA6+AA8)</f>
        <v>9.4460093124723365E-2</v>
      </c>
      <c r="AB47" s="322"/>
      <c r="AC47" s="322">
        <f>AC45/(AC4+AC6+AC8)</f>
        <v>9.5691812586522956E-2</v>
      </c>
      <c r="AD47" s="322"/>
      <c r="AE47" s="322">
        <f>AE45/(AE4+AE6+AE8)</f>
        <v>9.6709782322151272E-2</v>
      </c>
      <c r="AF47" s="322"/>
      <c r="AG47" s="322">
        <f>AG45/(AG4+AG6+AG8)</f>
        <v>9.7517414173841743E-2</v>
      </c>
      <c r="AH47" s="322"/>
      <c r="AI47" s="322"/>
    </row>
    <row r="48" spans="1:35" ht="13.8">
      <c r="A48" s="322" t="s">
        <v>2458</v>
      </c>
      <c r="B48" s="322"/>
      <c r="C48" s="315"/>
      <c r="D48" s="322"/>
      <c r="E48" s="322">
        <f>E45/E43</f>
        <v>0.20000171435428876</v>
      </c>
      <c r="F48" s="322"/>
      <c r="G48" s="322">
        <f>G45/G43</f>
        <v>0.21697823627230745</v>
      </c>
      <c r="H48" s="322"/>
      <c r="I48" s="322">
        <f>I45/I43</f>
        <v>0.23385161299309129</v>
      </c>
      <c r="J48" s="322"/>
      <c r="K48" s="322">
        <f>K45/K43</f>
        <v>0.25060076920398233</v>
      </c>
      <c r="L48" s="322"/>
      <c r="M48" s="322">
        <f>M45/M43</f>
        <v>0.26720345468273143</v>
      </c>
      <c r="N48" s="322"/>
      <c r="O48" s="322">
        <f>O45/O43</f>
        <v>0.28363619223095948</v>
      </c>
      <c r="P48" s="322"/>
      <c r="Q48" s="322">
        <f>Q45/Q43</f>
        <v>0.29987422351141951</v>
      </c>
      <c r="R48" s="322"/>
      <c r="S48" s="322">
        <f>S45/S43</f>
        <v>0.31589145270883751</v>
      </c>
      <c r="T48" s="322"/>
      <c r="U48" s="322">
        <f>U45/U43</f>
        <v>0.3316603879311284</v>
      </c>
      <c r="V48" s="322"/>
      <c r="W48" s="322">
        <f>W45/W43</f>
        <v>0.34715208026471167</v>
      </c>
      <c r="X48" s="322"/>
      <c r="Y48" s="322">
        <f>Y45/Y43</f>
        <v>0.36233606039442878</v>
      </c>
      <c r="Z48" s="322"/>
      <c r="AA48" s="322">
        <f>AA45/AA43</f>
        <v>0.37718027269526877</v>
      </c>
      <c r="AB48" s="322"/>
      <c r="AC48" s="322">
        <f>AC45/AC43</f>
        <v>0.39165100669965969</v>
      </c>
      <c r="AD48" s="322"/>
      <c r="AE48" s="322">
        <f>AE45/AE43</f>
        <v>0.40571282584052232</v>
      </c>
      <c r="AF48" s="322"/>
      <c r="AG48" s="322">
        <f>AG45/AG43</f>
        <v>0.4193284933665859</v>
      </c>
      <c r="AH48" s="322"/>
      <c r="AI48" s="322"/>
    </row>
    <row r="49" spans="1:35" ht="13.8">
      <c r="A49" s="323" t="s">
        <v>2416</v>
      </c>
      <c r="B49" s="323"/>
      <c r="C49" s="324"/>
      <c r="D49" s="323"/>
      <c r="E49" s="323">
        <f>E37/E43</f>
        <v>1.2000017143542887</v>
      </c>
      <c r="F49" s="323"/>
      <c r="G49" s="323">
        <f>G37/G43</f>
        <v>1.2169782362723074</v>
      </c>
      <c r="H49" s="323"/>
      <c r="I49" s="323">
        <f>I37/I43</f>
        <v>1.2338516129930912</v>
      </c>
      <c r="J49" s="323"/>
      <c r="K49" s="323">
        <f>K37/K43</f>
        <v>1.2506007692039822</v>
      </c>
      <c r="L49" s="323"/>
      <c r="M49" s="323">
        <f>M37/M43</f>
        <v>1.2672034546827315</v>
      </c>
      <c r="N49" s="323"/>
      <c r="O49" s="323">
        <f>O37/O43</f>
        <v>1.2836361922309594</v>
      </c>
      <c r="P49" s="323"/>
      <c r="Q49" s="323">
        <f>Q37/Q43</f>
        <v>1.2998742235114196</v>
      </c>
      <c r="R49" s="323"/>
      <c r="S49" s="323">
        <f>S37/S43</f>
        <v>1.3158914527088375</v>
      </c>
      <c r="T49" s="323"/>
      <c r="U49" s="323">
        <f>U37/U43</f>
        <v>1.3316603879311284</v>
      </c>
      <c r="V49" s="323"/>
      <c r="W49" s="323">
        <f>W37/W43</f>
        <v>1.3471520802647117</v>
      </c>
      <c r="X49" s="323"/>
      <c r="Y49" s="323">
        <f>Y37/Y43</f>
        <v>1.3623360603944288</v>
      </c>
      <c r="Z49" s="323"/>
      <c r="AA49" s="323">
        <f>AA37/AA43</f>
        <v>1.3771802726952689</v>
      </c>
      <c r="AB49" s="323"/>
      <c r="AC49" s="323">
        <f>AC37/AC43</f>
        <v>1.3916510066996597</v>
      </c>
      <c r="AD49" s="323"/>
      <c r="AE49" s="323">
        <f>AE37/AE43</f>
        <v>1.4057128258405223</v>
      </c>
      <c r="AF49" s="323"/>
      <c r="AG49" s="323">
        <f>AG37/AG43</f>
        <v>1.419328493366586</v>
      </c>
      <c r="AH49" s="323"/>
      <c r="AI49" s="323"/>
    </row>
    <row r="50" spans="1:35" ht="13.8">
      <c r="A50" s="325"/>
      <c r="B50" s="325"/>
      <c r="C50" s="326"/>
      <c r="D50" s="325"/>
      <c r="E50" s="327"/>
      <c r="F50" s="327"/>
      <c r="G50" s="327"/>
      <c r="H50" s="327"/>
      <c r="I50" s="327"/>
      <c r="J50" s="327"/>
      <c r="K50" s="327"/>
      <c r="L50" s="327"/>
      <c r="M50" s="327"/>
      <c r="N50" s="327"/>
      <c r="O50" s="327"/>
      <c r="P50" s="327"/>
      <c r="Q50" s="327"/>
      <c r="R50" s="327"/>
      <c r="S50" s="327"/>
      <c r="T50" s="327"/>
      <c r="U50" s="327"/>
      <c r="V50" s="327"/>
      <c r="W50" s="327"/>
      <c r="X50" s="327"/>
      <c r="Y50" s="327"/>
      <c r="Z50" s="327"/>
      <c r="AA50" s="327"/>
      <c r="AB50" s="327"/>
      <c r="AC50" s="327"/>
      <c r="AD50" s="327"/>
      <c r="AE50" s="327"/>
      <c r="AF50" s="327"/>
      <c r="AG50" s="327"/>
      <c r="AH50" s="306"/>
      <c r="AI50" s="306"/>
    </row>
    <row r="51" spans="1:35">
      <c r="A51" s="296" t="s">
        <v>2459</v>
      </c>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296"/>
      <c r="B52" s="296"/>
      <c r="C52" s="328"/>
      <c r="D52" s="296"/>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310"/>
      <c r="AE52" s="310"/>
      <c r="AF52" s="310"/>
      <c r="AG52" s="310"/>
      <c r="AH52" s="296"/>
      <c r="AI52" s="296"/>
    </row>
    <row r="53" spans="1:35">
      <c r="A53" s="304" t="s">
        <v>2460</v>
      </c>
      <c r="B53" s="304"/>
      <c r="C53" s="725">
        <v>1.02</v>
      </c>
      <c r="D53" s="304"/>
      <c r="E53" s="331">
        <v>10000</v>
      </c>
      <c r="F53" s="304"/>
      <c r="G53" s="727">
        <f>+E53*$C$53</f>
        <v>10200</v>
      </c>
      <c r="H53" s="727"/>
      <c r="I53" s="727">
        <f>+G53*$C$53</f>
        <v>10404</v>
      </c>
      <c r="J53" s="727"/>
      <c r="K53" s="727">
        <f>I53*$C$53</f>
        <v>10612.08</v>
      </c>
      <c r="L53" s="727"/>
      <c r="M53" s="727">
        <f>K53*$C$53</f>
        <v>10824.321599999999</v>
      </c>
      <c r="N53" s="727"/>
      <c r="O53" s="727">
        <f>M53*$C$53</f>
        <v>11040.808031999999</v>
      </c>
      <c r="P53" s="727"/>
      <c r="Q53" s="727">
        <f>O53*$C$53</f>
        <v>11261.62419264</v>
      </c>
      <c r="R53" s="727"/>
      <c r="S53" s="727">
        <f>Q53*$C$53</f>
        <v>11486.8566764928</v>
      </c>
      <c r="T53" s="727"/>
      <c r="U53" s="727">
        <f>S53*$C$53</f>
        <v>11716.593810022656</v>
      </c>
      <c r="V53" s="727"/>
      <c r="W53" s="727">
        <f>U53*$C$53</f>
        <v>11950.925686223109</v>
      </c>
      <c r="X53" s="727"/>
      <c r="Y53" s="727">
        <f>W53*$C$53</f>
        <v>12189.944199947571</v>
      </c>
      <c r="Z53" s="727"/>
      <c r="AA53" s="727">
        <f>Y53*$C$53</f>
        <v>12433.743083946523</v>
      </c>
      <c r="AB53" s="727"/>
      <c r="AC53" s="727">
        <f>AA53*$C$53</f>
        <v>12682.417945625453</v>
      </c>
      <c r="AD53" s="727"/>
      <c r="AE53" s="727">
        <f>AC53*$C$53</f>
        <v>12936.066304537962</v>
      </c>
      <c r="AF53" s="727"/>
      <c r="AG53" s="727">
        <f>AE53*$C$53</f>
        <v>13194.787630628722</v>
      </c>
      <c r="AH53" s="304"/>
      <c r="AI53" s="304"/>
    </row>
    <row r="54" spans="1:35">
      <c r="A54" s="296" t="s">
        <v>2461</v>
      </c>
      <c r="B54" s="296"/>
      <c r="C54" s="338"/>
      <c r="D54" s="296"/>
      <c r="E54" s="332">
        <v>2500</v>
      </c>
      <c r="F54" s="310"/>
      <c r="G54" s="726">
        <v>2550</v>
      </c>
      <c r="H54" s="726"/>
      <c r="I54" s="726">
        <v>2601</v>
      </c>
      <c r="J54" s="726"/>
      <c r="K54" s="726">
        <f t="shared" ref="G54:AG57" si="14">I54*$C$53</f>
        <v>2653.02</v>
      </c>
      <c r="L54" s="726"/>
      <c r="M54" s="726">
        <f t="shared" si="14"/>
        <v>2706.0803999999998</v>
      </c>
      <c r="N54" s="726"/>
      <c r="O54" s="726">
        <f t="shared" si="14"/>
        <v>2760.2020079999998</v>
      </c>
      <c r="P54" s="726"/>
      <c r="Q54" s="726">
        <f t="shared" si="14"/>
        <v>2815.40604816</v>
      </c>
      <c r="R54" s="726"/>
      <c r="S54" s="726">
        <f t="shared" si="14"/>
        <v>2871.7141691232</v>
      </c>
      <c r="T54" s="726"/>
      <c r="U54" s="726">
        <f t="shared" si="14"/>
        <v>2929.148452505664</v>
      </c>
      <c r="V54" s="726"/>
      <c r="W54" s="726">
        <f t="shared" si="14"/>
        <v>2987.7314215557772</v>
      </c>
      <c r="X54" s="726"/>
      <c r="Y54" s="726">
        <f t="shared" si="14"/>
        <v>3047.4860499868928</v>
      </c>
      <c r="Z54" s="726"/>
      <c r="AA54" s="726">
        <f t="shared" si="14"/>
        <v>3108.4357709866308</v>
      </c>
      <c r="AB54" s="726"/>
      <c r="AC54" s="726">
        <f t="shared" si="14"/>
        <v>3170.6044864063633</v>
      </c>
      <c r="AD54" s="726"/>
      <c r="AE54" s="726">
        <f t="shared" si="14"/>
        <v>3234.0165761344906</v>
      </c>
      <c r="AF54" s="726"/>
      <c r="AG54" s="726">
        <f t="shared" si="14"/>
        <v>3298.6969076571804</v>
      </c>
      <c r="AH54" s="310"/>
      <c r="AI54" s="310"/>
    </row>
    <row r="55" spans="1:35">
      <c r="A55" s="296" t="s">
        <v>2462</v>
      </c>
      <c r="B55" s="296"/>
      <c r="C55" s="338"/>
      <c r="D55" s="296"/>
      <c r="E55" s="332"/>
      <c r="F55" s="310"/>
      <c r="G55" s="726">
        <f t="shared" si="14"/>
        <v>0</v>
      </c>
      <c r="H55" s="726"/>
      <c r="I55" s="726">
        <f t="shared" si="14"/>
        <v>0</v>
      </c>
      <c r="J55" s="726"/>
      <c r="K55" s="726">
        <f t="shared" si="14"/>
        <v>0</v>
      </c>
      <c r="L55" s="726"/>
      <c r="M55" s="726">
        <f t="shared" si="14"/>
        <v>0</v>
      </c>
      <c r="N55" s="726"/>
      <c r="O55" s="726">
        <f t="shared" si="14"/>
        <v>0</v>
      </c>
      <c r="P55" s="726"/>
      <c r="Q55" s="726">
        <f t="shared" si="14"/>
        <v>0</v>
      </c>
      <c r="R55" s="726"/>
      <c r="S55" s="726">
        <f t="shared" si="14"/>
        <v>0</v>
      </c>
      <c r="T55" s="726"/>
      <c r="U55" s="726">
        <f t="shared" si="14"/>
        <v>0</v>
      </c>
      <c r="V55" s="726"/>
      <c r="W55" s="726">
        <f t="shared" si="14"/>
        <v>0</v>
      </c>
      <c r="X55" s="726"/>
      <c r="Y55" s="726">
        <f t="shared" si="14"/>
        <v>0</v>
      </c>
      <c r="Z55" s="726"/>
      <c r="AA55" s="726">
        <f t="shared" si="14"/>
        <v>0</v>
      </c>
      <c r="AB55" s="726"/>
      <c r="AC55" s="726">
        <f t="shared" si="14"/>
        <v>0</v>
      </c>
      <c r="AD55" s="726"/>
      <c r="AE55" s="726">
        <f t="shared" si="14"/>
        <v>0</v>
      </c>
      <c r="AF55" s="726"/>
      <c r="AG55" s="726">
        <f t="shared" si="14"/>
        <v>0</v>
      </c>
      <c r="AH55" s="310"/>
      <c r="AI55" s="310"/>
    </row>
    <row r="56" spans="1:35">
      <c r="A56" s="330"/>
      <c r="B56" s="330"/>
      <c r="C56" s="338"/>
      <c r="D56" s="296"/>
      <c r="E56" s="332"/>
      <c r="F56" s="310"/>
      <c r="G56" s="726">
        <f t="shared" si="14"/>
        <v>0</v>
      </c>
      <c r="H56" s="726"/>
      <c r="I56" s="726">
        <f t="shared" si="14"/>
        <v>0</v>
      </c>
      <c r="J56" s="726"/>
      <c r="K56" s="726">
        <f t="shared" si="14"/>
        <v>0</v>
      </c>
      <c r="L56" s="726"/>
      <c r="M56" s="726">
        <f t="shared" si="14"/>
        <v>0</v>
      </c>
      <c r="N56" s="726"/>
      <c r="O56" s="726">
        <f t="shared" si="14"/>
        <v>0</v>
      </c>
      <c r="P56" s="726"/>
      <c r="Q56" s="726">
        <f t="shared" si="14"/>
        <v>0</v>
      </c>
      <c r="R56" s="726"/>
      <c r="S56" s="726">
        <f t="shared" si="14"/>
        <v>0</v>
      </c>
      <c r="T56" s="726"/>
      <c r="U56" s="726">
        <f t="shared" si="14"/>
        <v>0</v>
      </c>
      <c r="V56" s="726"/>
      <c r="W56" s="726">
        <f t="shared" si="14"/>
        <v>0</v>
      </c>
      <c r="X56" s="726"/>
      <c r="Y56" s="726">
        <f t="shared" si="14"/>
        <v>0</v>
      </c>
      <c r="Z56" s="726"/>
      <c r="AA56" s="726">
        <f t="shared" si="14"/>
        <v>0</v>
      </c>
      <c r="AB56" s="726"/>
      <c r="AC56" s="726">
        <f t="shared" si="14"/>
        <v>0</v>
      </c>
      <c r="AD56" s="726"/>
      <c r="AE56" s="726">
        <f t="shared" si="14"/>
        <v>0</v>
      </c>
      <c r="AF56" s="726"/>
      <c r="AG56" s="726">
        <f t="shared" si="14"/>
        <v>0</v>
      </c>
      <c r="AH56" s="310"/>
      <c r="AI56" s="310"/>
    </row>
    <row r="57" spans="1:35">
      <c r="A57" s="330"/>
      <c r="B57" s="330"/>
      <c r="C57" s="338"/>
      <c r="D57" s="296"/>
      <c r="E57" s="336"/>
      <c r="F57" s="310"/>
      <c r="G57" s="728">
        <f t="shared" si="14"/>
        <v>0</v>
      </c>
      <c r="H57" s="726"/>
      <c r="I57" s="728">
        <f t="shared" si="14"/>
        <v>0</v>
      </c>
      <c r="J57" s="726"/>
      <c r="K57" s="728">
        <f t="shared" si="14"/>
        <v>0</v>
      </c>
      <c r="L57" s="726"/>
      <c r="M57" s="728">
        <f t="shared" si="14"/>
        <v>0</v>
      </c>
      <c r="N57" s="726"/>
      <c r="O57" s="728">
        <f t="shared" si="14"/>
        <v>0</v>
      </c>
      <c r="P57" s="726"/>
      <c r="Q57" s="728">
        <f t="shared" si="14"/>
        <v>0</v>
      </c>
      <c r="R57" s="726"/>
      <c r="S57" s="728">
        <f t="shared" si="14"/>
        <v>0</v>
      </c>
      <c r="T57" s="726"/>
      <c r="U57" s="728">
        <f t="shared" si="14"/>
        <v>0</v>
      </c>
      <c r="V57" s="726"/>
      <c r="W57" s="728">
        <f t="shared" si="14"/>
        <v>0</v>
      </c>
      <c r="X57" s="726"/>
      <c r="Y57" s="728">
        <f t="shared" si="14"/>
        <v>0</v>
      </c>
      <c r="Z57" s="726"/>
      <c r="AA57" s="728">
        <f t="shared" si="14"/>
        <v>0</v>
      </c>
      <c r="AB57" s="726"/>
      <c r="AC57" s="728">
        <f t="shared" si="14"/>
        <v>0</v>
      </c>
      <c r="AD57" s="726"/>
      <c r="AE57" s="728">
        <f t="shared" si="14"/>
        <v>0</v>
      </c>
      <c r="AF57" s="726"/>
      <c r="AG57" s="728">
        <f t="shared" si="14"/>
        <v>0</v>
      </c>
      <c r="AH57" s="310"/>
      <c r="AI57" s="310"/>
    </row>
    <row r="58" spans="1:35">
      <c r="A58" s="304" t="s">
        <v>2463</v>
      </c>
      <c r="B58" s="296"/>
      <c r="C58" s="328"/>
      <c r="D58" s="296"/>
      <c r="E58" s="310">
        <f>SUM(E53:E57)</f>
        <v>12500</v>
      </c>
      <c r="F58" s="310"/>
      <c r="G58" s="310">
        <f>SUM(G53:G57)</f>
        <v>12750</v>
      </c>
      <c r="H58" s="310"/>
      <c r="I58" s="310">
        <f>SUM(I53:I57)</f>
        <v>13005</v>
      </c>
      <c r="J58" s="310"/>
      <c r="K58" s="310">
        <f>SUM(K53:K57)</f>
        <v>13265.1</v>
      </c>
      <c r="L58" s="310"/>
      <c r="M58" s="310">
        <f>SUM(M53:M57)</f>
        <v>13530.401999999998</v>
      </c>
      <c r="N58" s="310"/>
      <c r="O58" s="310">
        <f>SUM(O53:O57)</f>
        <v>13801.010039999999</v>
      </c>
      <c r="P58" s="310"/>
      <c r="Q58" s="310">
        <f>SUM(Q53:Q57)</f>
        <v>14077.030240799999</v>
      </c>
      <c r="R58" s="310"/>
      <c r="S58" s="310">
        <f>SUM(S53:S57)</f>
        <v>14358.570845615999</v>
      </c>
      <c r="T58" s="310"/>
      <c r="U58" s="310">
        <f>SUM(U53:U57)</f>
        <v>14645.74226252832</v>
      </c>
      <c r="V58" s="310"/>
      <c r="W58" s="310">
        <f>SUM(W53:W57)</f>
        <v>14938.657107778887</v>
      </c>
      <c r="X58" s="310"/>
      <c r="Y58" s="310">
        <f>SUM(Y53:Y57)</f>
        <v>15237.430249934463</v>
      </c>
      <c r="Z58" s="310"/>
      <c r="AA58" s="310">
        <f>SUM(AA53:AA57)</f>
        <v>15542.178854933154</v>
      </c>
      <c r="AB58" s="310"/>
      <c r="AC58" s="310">
        <f>SUM(AC53:AC57)</f>
        <v>15853.022432031816</v>
      </c>
      <c r="AD58" s="310"/>
      <c r="AE58" s="310">
        <f>SUM(AE53:AE57)</f>
        <v>16170.082880672453</v>
      </c>
      <c r="AF58" s="310"/>
      <c r="AG58" s="310">
        <f>SUM(AG53:AG57)</f>
        <v>16493.484538285902</v>
      </c>
      <c r="AH58" s="310"/>
      <c r="AI58" s="310"/>
    </row>
    <row r="59" spans="1:35">
      <c r="A59" s="304"/>
      <c r="B59" s="296"/>
      <c r="C59" s="328"/>
      <c r="D59" s="296"/>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310"/>
      <c r="AE59" s="310"/>
      <c r="AF59" s="310"/>
      <c r="AG59" s="310"/>
      <c r="AH59" s="310"/>
      <c r="AI59" s="310"/>
    </row>
    <row r="60" spans="1:35">
      <c r="A60" s="304" t="s">
        <v>2464</v>
      </c>
      <c r="B60" s="304"/>
      <c r="C60" s="329"/>
      <c r="D60" s="304"/>
      <c r="E60" s="304">
        <f>E45-E58</f>
        <v>34165.20000000007</v>
      </c>
      <c r="F60" s="304"/>
      <c r="G60" s="304">
        <f>G45-G58</f>
        <v>37876.229999999865</v>
      </c>
      <c r="H60" s="304"/>
      <c r="I60" s="304">
        <f>I45-I58</f>
        <v>41558.193750000035</v>
      </c>
      <c r="J60" s="304"/>
      <c r="K60" s="304">
        <f>K45-K58</f>
        <v>45206.073873749971</v>
      </c>
      <c r="L60" s="304"/>
      <c r="M60" s="304">
        <f>M45-M58</f>
        <v>48814.57686039363</v>
      </c>
      <c r="N60" s="304"/>
      <c r="O60" s="304">
        <f>O45-O58</f>
        <v>52378.120876096385</v>
      </c>
      <c r="P60" s="304"/>
      <c r="Q60" s="304">
        <f>Q45-Q58</f>
        <v>55890.823085778451</v>
      </c>
      <c r="R60" s="304"/>
      <c r="S60" s="304">
        <f>S45-S58</f>
        <v>59346.486466220806</v>
      </c>
      <c r="T60" s="304"/>
      <c r="U60" s="304">
        <f>U45-U58</f>
        <v>62738.586091114281</v>
      </c>
      <c r="V60" s="304"/>
      <c r="W60" s="304">
        <f>W45-W58</f>
        <v>66060.254867904703</v>
      </c>
      <c r="X60" s="304"/>
      <c r="Y60" s="304">
        <f>Y45-Y58</f>
        <v>69304.268705535243</v>
      </c>
      <c r="Z60" s="304"/>
      <c r="AA60" s="304">
        <f>AA45-AA58</f>
        <v>72463.031091417739</v>
      </c>
      <c r="AB60" s="304"/>
      <c r="AC60" s="304">
        <f>AC45-AC58</f>
        <v>75528.557055159588</v>
      </c>
      <c r="AD60" s="304"/>
      <c r="AE60" s="304">
        <f>AE45-AE58</f>
        <v>78492.456495741586</v>
      </c>
      <c r="AF60" s="304"/>
      <c r="AG60" s="304">
        <f>AG45-AG58</f>
        <v>81345.916847979388</v>
      </c>
      <c r="AH60" s="304"/>
      <c r="AI60" s="304"/>
    </row>
    <row r="61" spans="1:35">
      <c r="A61" s="296"/>
      <c r="B61" s="296"/>
      <c r="C61" s="328"/>
      <c r="D61" s="296"/>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310"/>
      <c r="AE61" s="310"/>
      <c r="AF61" s="310"/>
      <c r="AG61" s="310"/>
      <c r="AH61" s="310"/>
      <c r="AI61" s="310"/>
    </row>
    <row r="62" spans="1:35">
      <c r="A62" s="304" t="s">
        <v>2465</v>
      </c>
      <c r="B62" s="304"/>
      <c r="C62" s="730">
        <v>0</v>
      </c>
      <c r="D62" s="304"/>
      <c r="E62" s="331">
        <v>0</v>
      </c>
      <c r="F62" s="304"/>
      <c r="G62" s="729">
        <f>G60*$C$62</f>
        <v>0</v>
      </c>
      <c r="H62" s="304"/>
      <c r="I62" s="729">
        <f>I60*$C$62</f>
        <v>0</v>
      </c>
      <c r="J62" s="304"/>
      <c r="K62" s="729">
        <f>K60*$C$62</f>
        <v>0</v>
      </c>
      <c r="L62" s="304"/>
      <c r="M62" s="729">
        <f>M60*$C$62</f>
        <v>0</v>
      </c>
      <c r="N62" s="304"/>
      <c r="O62" s="729">
        <f>O60*$C$62</f>
        <v>0</v>
      </c>
      <c r="P62" s="304"/>
      <c r="Q62" s="729">
        <f>Q60*$C$62</f>
        <v>0</v>
      </c>
      <c r="R62" s="304"/>
      <c r="S62" s="729">
        <f>S60*$C$62</f>
        <v>0</v>
      </c>
      <c r="T62" s="304"/>
      <c r="U62" s="729">
        <f>U60*$C$62</f>
        <v>0</v>
      </c>
      <c r="V62" s="304"/>
      <c r="W62" s="729">
        <f>W60*$C$62</f>
        <v>0</v>
      </c>
      <c r="X62" s="304"/>
      <c r="Y62" s="729">
        <f>Y60*$C$62</f>
        <v>0</v>
      </c>
      <c r="Z62" s="304"/>
      <c r="AA62" s="729">
        <f>AA60*$C$62</f>
        <v>0</v>
      </c>
      <c r="AB62" s="304"/>
      <c r="AC62" s="729">
        <f>AC60*$C$62</f>
        <v>0</v>
      </c>
      <c r="AD62" s="304"/>
      <c r="AE62" s="729">
        <f>AE60*$C$62</f>
        <v>0</v>
      </c>
      <c r="AF62" s="304"/>
      <c r="AG62" s="729">
        <f>AG60*$C$62</f>
        <v>0</v>
      </c>
      <c r="AH62" s="304"/>
      <c r="AI62" s="304"/>
    </row>
    <row r="63" spans="1:35">
      <c r="A63" s="304"/>
      <c r="B63" s="304"/>
      <c r="C63" s="329"/>
      <c r="D63" s="304"/>
      <c r="E63" s="304"/>
      <c r="F63" s="304"/>
      <c r="G63" s="304"/>
      <c r="H63" s="304"/>
      <c r="I63" s="304"/>
      <c r="J63" s="304"/>
      <c r="K63" s="304"/>
      <c r="L63" s="304"/>
      <c r="M63" s="304"/>
      <c r="N63" s="304"/>
      <c r="O63" s="304"/>
      <c r="P63" s="304"/>
      <c r="Q63" s="304"/>
      <c r="R63" s="304"/>
      <c r="S63" s="304"/>
      <c r="T63" s="304"/>
      <c r="U63" s="304"/>
      <c r="V63" s="304"/>
      <c r="W63" s="304"/>
      <c r="X63" s="304"/>
      <c r="Y63" s="304"/>
      <c r="Z63" s="304"/>
      <c r="AA63" s="304"/>
      <c r="AB63" s="304"/>
      <c r="AC63" s="304"/>
      <c r="AD63" s="304"/>
      <c r="AE63" s="304"/>
      <c r="AF63" s="304"/>
      <c r="AG63" s="304"/>
      <c r="AH63" s="304"/>
      <c r="AI63" s="304"/>
    </row>
    <row r="64" spans="1:35">
      <c r="A64" s="296"/>
      <c r="B64" s="296"/>
      <c r="C64" s="328"/>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296" t="s">
        <v>2466</v>
      </c>
      <c r="B65" s="296"/>
      <c r="C65" s="731">
        <v>0.5</v>
      </c>
      <c r="D65" s="296"/>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310"/>
      <c r="AE65" s="310"/>
      <c r="AF65" s="310"/>
      <c r="AG65" s="310"/>
      <c r="AH65" s="310"/>
      <c r="AI65" s="310"/>
    </row>
    <row r="66" spans="1:35">
      <c r="A66" s="331" t="str">
        <f>+Application!C619</f>
        <v xml:space="preserve">County - LACDA </v>
      </c>
      <c r="B66" s="331"/>
      <c r="C66" s="329"/>
      <c r="D66" s="304"/>
      <c r="E66" s="331">
        <f>+E60*C65</f>
        <v>17082.600000000035</v>
      </c>
      <c r="F66" s="304"/>
      <c r="G66" s="304">
        <f>+G60*$C$65</f>
        <v>18938.114999999932</v>
      </c>
      <c r="H66" s="304"/>
      <c r="I66" s="304">
        <f>+I60*$C$65</f>
        <v>20779.096875000017</v>
      </c>
      <c r="J66" s="304"/>
      <c r="K66" s="304">
        <f>+K60*$C$65</f>
        <v>22603.036936874985</v>
      </c>
      <c r="L66" s="304"/>
      <c r="M66" s="304">
        <f>+M60*$C$65</f>
        <v>24407.288430196815</v>
      </c>
      <c r="N66" s="304"/>
      <c r="O66" s="304">
        <f>O60*$C$65</f>
        <v>26189.060438048193</v>
      </c>
      <c r="P66" s="304"/>
      <c r="Q66" s="304">
        <f>Q60*$C$65</f>
        <v>27945.411542889226</v>
      </c>
      <c r="R66" s="304"/>
      <c r="S66" s="304">
        <f>S60*$C$65</f>
        <v>29673.243233110403</v>
      </c>
      <c r="T66" s="304"/>
      <c r="U66" s="304">
        <f>U60*$C$65</f>
        <v>31369.29304555714</v>
      </c>
      <c r="V66" s="304"/>
      <c r="W66" s="304">
        <f>W60*$C$65</f>
        <v>33030.127433952352</v>
      </c>
      <c r="X66" s="304"/>
      <c r="Y66" s="304">
        <f>Y60*$C$65</f>
        <v>34652.134352767622</v>
      </c>
      <c r="Z66" s="304"/>
      <c r="AA66" s="304">
        <f>AA60*$C$65</f>
        <v>36231.515545708869</v>
      </c>
      <c r="AB66" s="304"/>
      <c r="AC66" s="304">
        <f>AC60*$C$65</f>
        <v>37764.278527579794</v>
      </c>
      <c r="AD66" s="304"/>
      <c r="AE66" s="304">
        <f>AE60*$C$65</f>
        <v>39246.228247870793</v>
      </c>
      <c r="AF66" s="304"/>
      <c r="AG66" s="304">
        <f>AG60*$C$65</f>
        <v>40672.958423989694</v>
      </c>
      <c r="AH66" s="304"/>
      <c r="AI66" s="304"/>
    </row>
    <row r="67" spans="1:35">
      <c r="A67" s="332"/>
      <c r="B67" s="332"/>
      <c r="C67" s="312"/>
      <c r="D67" s="310"/>
      <c r="E67" s="332"/>
      <c r="F67" s="310"/>
      <c r="G67" s="732"/>
      <c r="H67" s="310"/>
      <c r="I67" s="732"/>
      <c r="J67" s="310"/>
      <c r="K67" s="732"/>
      <c r="L67" s="310"/>
      <c r="M67" s="732"/>
      <c r="N67" s="310"/>
      <c r="O67" s="732"/>
      <c r="P67" s="310"/>
      <c r="Q67" s="732"/>
      <c r="R67" s="310"/>
      <c r="S67" s="732"/>
      <c r="T67" s="310"/>
      <c r="U67" s="732"/>
      <c r="V67" s="310"/>
      <c r="W67" s="732"/>
      <c r="X67" s="310"/>
      <c r="Y67" s="732"/>
      <c r="Z67" s="310"/>
      <c r="AA67" s="732"/>
      <c r="AB67" s="310"/>
      <c r="AC67" s="732"/>
      <c r="AD67" s="310"/>
      <c r="AE67" s="732"/>
      <c r="AF67" s="310"/>
      <c r="AG67" s="732"/>
      <c r="AH67" s="310"/>
      <c r="AI67" s="310"/>
    </row>
    <row r="68" spans="1:35">
      <c r="A68" s="331"/>
      <c r="B68" s="331"/>
      <c r="C68" s="329"/>
      <c r="D68" s="304"/>
      <c r="E68" s="331"/>
      <c r="F68" s="304"/>
      <c r="G68" s="732"/>
      <c r="H68" s="304"/>
      <c r="I68" s="732"/>
      <c r="J68" s="304"/>
      <c r="K68" s="732"/>
      <c r="L68" s="304"/>
      <c r="M68" s="732"/>
      <c r="N68" s="304"/>
      <c r="O68" s="732"/>
      <c r="P68" s="304"/>
      <c r="Q68" s="732"/>
      <c r="R68" s="304"/>
      <c r="S68" s="732"/>
      <c r="T68" s="304"/>
      <c r="U68" s="732"/>
      <c r="V68" s="304"/>
      <c r="W68" s="732"/>
      <c r="X68" s="304"/>
      <c r="Y68" s="732"/>
      <c r="Z68" s="304"/>
      <c r="AA68" s="732"/>
      <c r="AB68" s="304"/>
      <c r="AC68" s="732"/>
      <c r="AD68" s="304"/>
      <c r="AE68" s="732"/>
      <c r="AF68" s="304"/>
      <c r="AG68" s="732"/>
      <c r="AH68" s="304"/>
      <c r="AI68" s="304"/>
    </row>
    <row r="69" spans="1:35">
      <c r="A69" s="332"/>
      <c r="B69" s="332"/>
      <c r="C69" s="312"/>
      <c r="D69" s="310"/>
      <c r="E69" s="336"/>
      <c r="F69" s="310"/>
      <c r="G69" s="733"/>
      <c r="H69" s="310"/>
      <c r="I69" s="733"/>
      <c r="J69" s="310"/>
      <c r="K69" s="733"/>
      <c r="L69" s="310"/>
      <c r="M69" s="733"/>
      <c r="N69" s="310"/>
      <c r="O69" s="733"/>
      <c r="P69" s="310"/>
      <c r="Q69" s="733"/>
      <c r="R69" s="310"/>
      <c r="S69" s="733"/>
      <c r="T69" s="310"/>
      <c r="U69" s="733"/>
      <c r="V69" s="310"/>
      <c r="W69" s="733"/>
      <c r="X69" s="310"/>
      <c r="Y69" s="733"/>
      <c r="Z69" s="310"/>
      <c r="AA69" s="733"/>
      <c r="AB69" s="310"/>
      <c r="AC69" s="733"/>
      <c r="AD69" s="310"/>
      <c r="AE69" s="733"/>
      <c r="AF69" s="310"/>
      <c r="AG69" s="733"/>
      <c r="AH69" s="310"/>
      <c r="AI69" s="310"/>
    </row>
    <row r="70" spans="1:35">
      <c r="A70" s="729" t="s">
        <v>2463</v>
      </c>
      <c r="B70" s="310"/>
      <c r="C70" s="312"/>
      <c r="D70" s="310"/>
      <c r="E70" s="304">
        <f>SUM(E66:E69)</f>
        <v>17082.600000000035</v>
      </c>
      <c r="F70" s="304"/>
      <c r="G70" s="304">
        <f>SUM(G66:G69)</f>
        <v>18938.114999999932</v>
      </c>
      <c r="H70" s="304"/>
      <c r="I70" s="304">
        <f>SUM(I66:I69)</f>
        <v>20779.096875000017</v>
      </c>
      <c r="J70" s="304"/>
      <c r="K70" s="304">
        <f>SUM(K66:K69)</f>
        <v>22603.036936874985</v>
      </c>
      <c r="L70" s="304"/>
      <c r="M70" s="304">
        <f>SUM(M66:M69)</f>
        <v>24407.288430196815</v>
      </c>
      <c r="N70" s="304"/>
      <c r="O70" s="304">
        <f>SUM(O66:O69)</f>
        <v>26189.060438048193</v>
      </c>
      <c r="P70" s="304"/>
      <c r="Q70" s="304">
        <f>SUM(Q66:Q69)</f>
        <v>27945.411542889226</v>
      </c>
      <c r="R70" s="304"/>
      <c r="S70" s="304">
        <f>SUM(S66:S69)</f>
        <v>29673.243233110403</v>
      </c>
      <c r="T70" s="304"/>
      <c r="U70" s="304">
        <f>SUM(U66:U69)</f>
        <v>31369.29304555714</v>
      </c>
      <c r="V70" s="304"/>
      <c r="W70" s="304">
        <f>SUM(W66:W69)</f>
        <v>33030.127433952352</v>
      </c>
      <c r="X70" s="304"/>
      <c r="Y70" s="304">
        <f>SUM(Y66:Y69)</f>
        <v>34652.134352767622</v>
      </c>
      <c r="Z70" s="304"/>
      <c r="AA70" s="304">
        <f>SUM(AA66:AA69)</f>
        <v>36231.515545708869</v>
      </c>
      <c r="AB70" s="304"/>
      <c r="AC70" s="304">
        <f>SUM(AC66:AC69)</f>
        <v>37764.278527579794</v>
      </c>
      <c r="AD70" s="304"/>
      <c r="AE70" s="304">
        <f>SUM(AE66:AE69)</f>
        <v>39246.228247870793</v>
      </c>
      <c r="AF70" s="304"/>
      <c r="AG70" s="304">
        <f>SUM(AG66:AG69)</f>
        <v>40672.958423989694</v>
      </c>
      <c r="AH70" s="310"/>
      <c r="AI70" s="310"/>
    </row>
    <row r="71" spans="1:35">
      <c r="A71" s="310"/>
      <c r="B71" s="310"/>
      <c r="C71" s="312"/>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310"/>
      <c r="AE71" s="310"/>
      <c r="AF71" s="310"/>
      <c r="AG71" s="310"/>
      <c r="AH71" s="310"/>
      <c r="AI71" s="310"/>
    </row>
    <row r="72" spans="1:35">
      <c r="A72" s="729" t="s">
        <v>2467</v>
      </c>
      <c r="B72" s="310"/>
      <c r="C72" s="312"/>
      <c r="D72" s="310"/>
      <c r="E72" s="304">
        <f>E60-E62-E70</f>
        <v>17082.600000000035</v>
      </c>
      <c r="F72" s="310"/>
      <c r="G72" s="304">
        <f>G60-G62-G70</f>
        <v>18938.114999999932</v>
      </c>
      <c r="H72" s="310"/>
      <c r="I72" s="304">
        <f>I60-I62-I70</f>
        <v>20779.096875000017</v>
      </c>
      <c r="J72" s="310"/>
      <c r="K72" s="304">
        <f>K60-K62-K70</f>
        <v>22603.036936874985</v>
      </c>
      <c r="L72" s="310"/>
      <c r="M72" s="304">
        <f>M60-M62-M70</f>
        <v>24407.288430196815</v>
      </c>
      <c r="N72" s="310"/>
      <c r="O72" s="304">
        <f>O60-O62-O70</f>
        <v>26189.060438048193</v>
      </c>
      <c r="P72" s="310"/>
      <c r="Q72" s="304">
        <f>Q60-Q62-Q70</f>
        <v>27945.411542889226</v>
      </c>
      <c r="R72" s="310"/>
      <c r="S72" s="304">
        <f>S60-S62-S70</f>
        <v>29673.243233110403</v>
      </c>
      <c r="T72" s="310"/>
      <c r="U72" s="304">
        <f>U60-U62-U70</f>
        <v>31369.29304555714</v>
      </c>
      <c r="V72" s="310"/>
      <c r="W72" s="304">
        <f>W60-W62-W70</f>
        <v>33030.127433952352</v>
      </c>
      <c r="X72" s="310"/>
      <c r="Y72" s="304">
        <f>Y60-Y62-Y70</f>
        <v>34652.134352767622</v>
      </c>
      <c r="Z72" s="310"/>
      <c r="AA72" s="304">
        <f>AA60-AA62-AA70</f>
        <v>36231.515545708869</v>
      </c>
      <c r="AB72" s="310"/>
      <c r="AC72" s="304">
        <f>AC60-AC62-AC70</f>
        <v>37764.278527579794</v>
      </c>
      <c r="AD72" s="310"/>
      <c r="AE72" s="304">
        <f>AE60-AE62-AE70</f>
        <v>39246.228247870793</v>
      </c>
      <c r="AF72" s="310"/>
      <c r="AG72" s="304">
        <f>AG60-AG62-AG70</f>
        <v>40672.958423989694</v>
      </c>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c r="B74" s="310"/>
      <c r="C74" s="312"/>
      <c r="D74" s="310"/>
      <c r="E74" s="304"/>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t="s">
        <v>2468</v>
      </c>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c r="A76" s="310"/>
      <c r="B76" s="310"/>
      <c r="C76" s="312"/>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310"/>
      <c r="AE76" s="310"/>
      <c r="AF76" s="310"/>
      <c r="AG76" s="310"/>
      <c r="AH76" s="310"/>
      <c r="AI76" s="310"/>
    </row>
    <row r="77" spans="1:35" ht="30" customHeight="1">
      <c r="A77" s="1858" t="s">
        <v>2469</v>
      </c>
      <c r="B77" s="1858"/>
      <c r="C77" s="1858"/>
      <c r="D77" s="1858"/>
      <c r="E77" s="1858"/>
      <c r="F77" s="1858"/>
      <c r="G77" s="1858"/>
      <c r="H77" s="1858"/>
      <c r="I77" s="1858"/>
      <c r="J77" s="1858"/>
      <c r="K77" s="1858"/>
      <c r="L77" s="1858"/>
      <c r="M77" s="1858"/>
      <c r="N77" s="1858"/>
      <c r="O77" s="1858"/>
      <c r="P77" s="1858"/>
      <c r="Q77" s="1858"/>
      <c r="R77" s="1858"/>
      <c r="S77" s="1858"/>
      <c r="T77" s="1858"/>
      <c r="U77" s="1858"/>
      <c r="V77" s="1858"/>
      <c r="W77" s="1858"/>
      <c r="X77" s="1858"/>
      <c r="Y77" s="1858"/>
      <c r="Z77" s="1858"/>
      <c r="AA77" s="1858"/>
      <c r="AB77" s="1858"/>
      <c r="AC77" s="1858"/>
      <c r="AD77" s="1858"/>
      <c r="AE77" s="1858"/>
      <c r="AF77" s="1858"/>
      <c r="AG77" s="1858"/>
      <c r="AH77" s="333"/>
      <c r="AI77" s="333"/>
    </row>
    <row r="78" spans="1:35" hidden="1">
      <c r="A78" s="310"/>
      <c r="B78" s="310"/>
      <c r="C78" s="312"/>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0"/>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row r="217" spans="3:3" hidden="1">
      <c r="C217"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A6" sqref="A6"/>
    </sheetView>
  </sheetViews>
  <sheetFormatPr defaultColWidth="9.1640625" defaultRowHeight="13.8" zeroHeight="1"/>
  <cols>
    <col min="1" max="3" width="15.44140625" style="248" customWidth="1"/>
    <col min="4" max="4" width="3.44140625" style="248" customWidth="1"/>
    <col min="5" max="6" width="15.44140625" style="248" customWidth="1"/>
    <col min="7" max="7" width="3.44140625" style="248" customWidth="1"/>
    <col min="8" max="9" width="15.44140625" style="248" customWidth="1"/>
    <col min="10" max="16383" width="9.1640625" style="248"/>
    <col min="16384" max="16384" width="0.44140625" style="248" customWidth="1"/>
  </cols>
  <sheetData>
    <row r="1" spans="1:9">
      <c r="A1" s="1859" t="s">
        <v>2470</v>
      </c>
      <c r="B1" s="1859"/>
      <c r="C1" s="1859"/>
      <c r="D1" s="1859"/>
      <c r="E1" s="1859"/>
      <c r="F1" s="1859"/>
      <c r="G1" s="1859"/>
      <c r="H1" s="1859"/>
      <c r="I1" s="1859"/>
    </row>
    <row r="2" spans="1:9">
      <c r="A2" s="519"/>
      <c r="B2" s="519"/>
      <c r="C2" s="519"/>
      <c r="D2" s="519"/>
      <c r="E2" s="519"/>
      <c r="F2" s="519"/>
      <c r="G2" s="519"/>
      <c r="H2" s="519"/>
      <c r="I2" s="519"/>
    </row>
    <row r="3" spans="1:9" ht="105" customHeight="1">
      <c r="A3" s="520" t="s">
        <v>2471</v>
      </c>
      <c r="B3" s="520" t="s">
        <v>2472</v>
      </c>
      <c r="C3" s="393" t="s">
        <v>2473</v>
      </c>
      <c r="D3" s="519"/>
      <c r="E3" s="393" t="s">
        <v>2474</v>
      </c>
      <c r="F3" s="520" t="s">
        <v>2475</v>
      </c>
      <c r="G3" s="521"/>
      <c r="H3" s="520" t="s">
        <v>2476</v>
      </c>
      <c r="I3" s="520" t="s">
        <v>2477</v>
      </c>
    </row>
    <row r="4" spans="1:9">
      <c r="A4" s="522" t="str">
        <f>Application!$B692</f>
        <v>SRO/Studio</v>
      </c>
      <c r="B4" s="849">
        <f>Application!$G692</f>
        <v>22</v>
      </c>
      <c r="C4" s="522">
        <f>Application!$O692</f>
        <v>595</v>
      </c>
      <c r="D4" s="523"/>
      <c r="E4" s="847">
        <v>1840</v>
      </c>
      <c r="F4" s="522">
        <f>$E4*$B4</f>
        <v>40480</v>
      </c>
      <c r="G4" s="523"/>
      <c r="H4" s="522">
        <f>IF($E4=0,0,MAX($E4-$C4,0))</f>
        <v>1245</v>
      </c>
      <c r="I4" s="522">
        <f>IF($H4=0,0,($H4*$B4))</f>
        <v>27390</v>
      </c>
    </row>
    <row r="5" spans="1:9">
      <c r="A5" s="522" t="str">
        <f>Application!$B693</f>
        <v>SRO/Studio</v>
      </c>
      <c r="B5" s="848">
        <v>0</v>
      </c>
      <c r="C5" s="522">
        <f>Application!$O693</f>
        <v>803</v>
      </c>
      <c r="D5" s="523"/>
      <c r="E5" s="847"/>
      <c r="F5" s="522">
        <f t="shared" ref="F5:F28" si="0">$E5*$B5</f>
        <v>0</v>
      </c>
      <c r="G5" s="523"/>
      <c r="H5" s="522">
        <f t="shared" ref="H5:H28" si="1">IF($E5=0,0,MAX($E5-$C5,0))</f>
        <v>0</v>
      </c>
      <c r="I5" s="522">
        <f t="shared" ref="I5:I28" si="2">IF($H5=0,0,($H5*$B5))</f>
        <v>0</v>
      </c>
    </row>
    <row r="6" spans="1:9">
      <c r="A6" s="522">
        <f>Application!$B694</f>
        <v>0</v>
      </c>
      <c r="B6" s="848">
        <v>0</v>
      </c>
      <c r="C6" s="522">
        <f>Application!$O694</f>
        <v>0</v>
      </c>
      <c r="D6" s="523"/>
      <c r="E6" s="847"/>
      <c r="F6" s="522">
        <f t="shared" si="0"/>
        <v>0</v>
      </c>
      <c r="G6" s="523"/>
      <c r="H6" s="522">
        <f t="shared" si="1"/>
        <v>0</v>
      </c>
      <c r="I6" s="522">
        <f t="shared" si="2"/>
        <v>0</v>
      </c>
    </row>
    <row r="7" spans="1:9">
      <c r="A7" s="522">
        <f>Application!$B695</f>
        <v>0</v>
      </c>
      <c r="B7" s="848">
        <f>Application!$G695</f>
        <v>0</v>
      </c>
      <c r="C7" s="522">
        <f>Application!$O695</f>
        <v>0</v>
      </c>
      <c r="D7" s="523"/>
      <c r="E7" s="847"/>
      <c r="F7" s="522">
        <f t="shared" si="0"/>
        <v>0</v>
      </c>
      <c r="G7" s="523"/>
      <c r="H7" s="522">
        <f t="shared" si="1"/>
        <v>0</v>
      </c>
      <c r="I7" s="522">
        <f t="shared" si="2"/>
        <v>0</v>
      </c>
    </row>
    <row r="8" spans="1:9">
      <c r="A8" s="522">
        <f>Application!$B696</f>
        <v>0</v>
      </c>
      <c r="B8" s="848">
        <v>1</v>
      </c>
      <c r="C8" s="522">
        <f>Application!$O696</f>
        <v>0</v>
      </c>
      <c r="D8" s="523"/>
      <c r="E8" s="847"/>
      <c r="F8" s="522">
        <f t="shared" si="0"/>
        <v>0</v>
      </c>
      <c r="G8" s="523"/>
      <c r="H8" s="522">
        <f t="shared" si="1"/>
        <v>0</v>
      </c>
      <c r="I8" s="522">
        <f t="shared" si="2"/>
        <v>0</v>
      </c>
    </row>
    <row r="9" spans="1:9">
      <c r="A9" s="522">
        <f>Application!$B697</f>
        <v>0</v>
      </c>
      <c r="B9" s="848">
        <v>0</v>
      </c>
      <c r="C9" s="522">
        <f>Application!$O697</f>
        <v>0</v>
      </c>
      <c r="D9" s="523"/>
      <c r="E9" s="847"/>
      <c r="F9" s="522">
        <f t="shared" si="0"/>
        <v>0</v>
      </c>
      <c r="G9" s="523"/>
      <c r="H9" s="522">
        <f t="shared" si="1"/>
        <v>0</v>
      </c>
      <c r="I9" s="522">
        <f t="shared" si="2"/>
        <v>0</v>
      </c>
    </row>
    <row r="10" spans="1:9">
      <c r="A10" s="522">
        <f>Application!$B698</f>
        <v>0</v>
      </c>
      <c r="B10" s="848">
        <f>Application!$G698</f>
        <v>0</v>
      </c>
      <c r="C10" s="522">
        <f>Application!$O698</f>
        <v>0</v>
      </c>
      <c r="D10" s="523"/>
      <c r="E10" s="847"/>
      <c r="F10" s="522">
        <f t="shared" si="0"/>
        <v>0</v>
      </c>
      <c r="G10" s="523"/>
      <c r="H10" s="522">
        <f t="shared" si="1"/>
        <v>0</v>
      </c>
      <c r="I10" s="522">
        <f t="shared" si="2"/>
        <v>0</v>
      </c>
    </row>
    <row r="11" spans="1:9">
      <c r="A11" s="522">
        <f>Application!$B699</f>
        <v>0</v>
      </c>
      <c r="B11" s="848">
        <f>Application!$G699</f>
        <v>0</v>
      </c>
      <c r="C11" s="522">
        <f>Application!$O699</f>
        <v>0</v>
      </c>
      <c r="D11" s="523"/>
      <c r="E11" s="847"/>
      <c r="F11" s="522">
        <f t="shared" si="0"/>
        <v>0</v>
      </c>
      <c r="G11" s="523"/>
      <c r="H11" s="522">
        <f t="shared" si="1"/>
        <v>0</v>
      </c>
      <c r="I11" s="522">
        <f t="shared" si="2"/>
        <v>0</v>
      </c>
    </row>
    <row r="12" spans="1:9">
      <c r="A12" s="522">
        <f>Application!$B700</f>
        <v>0</v>
      </c>
      <c r="B12" s="848">
        <f>Application!$G700</f>
        <v>0</v>
      </c>
      <c r="C12" s="522">
        <f>Application!$O700</f>
        <v>0</v>
      </c>
      <c r="D12" s="523"/>
      <c r="E12" s="847"/>
      <c r="F12" s="522">
        <f t="shared" si="0"/>
        <v>0</v>
      </c>
      <c r="G12" s="523"/>
      <c r="H12" s="522">
        <f t="shared" si="1"/>
        <v>0</v>
      </c>
      <c r="I12" s="522">
        <f t="shared" si="2"/>
        <v>0</v>
      </c>
    </row>
    <row r="13" spans="1:9">
      <c r="A13" s="522">
        <f>Application!$B701</f>
        <v>0</v>
      </c>
      <c r="B13" s="848">
        <f>Application!$G701</f>
        <v>0</v>
      </c>
      <c r="C13" s="522">
        <f>Application!$O701</f>
        <v>0</v>
      </c>
      <c r="D13" s="523"/>
      <c r="E13" s="847"/>
      <c r="F13" s="522">
        <f t="shared" si="0"/>
        <v>0</v>
      </c>
      <c r="G13" s="523"/>
      <c r="H13" s="522">
        <f t="shared" si="1"/>
        <v>0</v>
      </c>
      <c r="I13" s="522">
        <f t="shared" si="2"/>
        <v>0</v>
      </c>
    </row>
    <row r="14" spans="1:9">
      <c r="A14" s="522">
        <f>Application!$B702</f>
        <v>0</v>
      </c>
      <c r="B14" s="848">
        <f>Application!$G702</f>
        <v>0</v>
      </c>
      <c r="C14" s="522">
        <f>Application!$O702</f>
        <v>0</v>
      </c>
      <c r="D14" s="523"/>
      <c r="E14" s="847"/>
      <c r="F14" s="522">
        <f t="shared" si="0"/>
        <v>0</v>
      </c>
      <c r="G14" s="523"/>
      <c r="H14" s="522">
        <f t="shared" si="1"/>
        <v>0</v>
      </c>
      <c r="I14" s="522">
        <f t="shared" si="2"/>
        <v>0</v>
      </c>
    </row>
    <row r="15" spans="1:9">
      <c r="A15" s="522">
        <f>Application!$B703</f>
        <v>0</v>
      </c>
      <c r="B15" s="848">
        <f>Application!$G703</f>
        <v>0</v>
      </c>
      <c r="C15" s="522">
        <f>Application!$O703</f>
        <v>0</v>
      </c>
      <c r="D15" s="523"/>
      <c r="E15" s="847"/>
      <c r="F15" s="522">
        <f t="shared" si="0"/>
        <v>0</v>
      </c>
      <c r="G15" s="523"/>
      <c r="H15" s="522">
        <f t="shared" si="1"/>
        <v>0</v>
      </c>
      <c r="I15" s="522">
        <f t="shared" si="2"/>
        <v>0</v>
      </c>
    </row>
    <row r="16" spans="1:9">
      <c r="A16" s="522">
        <f>Application!$B704</f>
        <v>0</v>
      </c>
      <c r="B16" s="848">
        <f>Application!$G704</f>
        <v>0</v>
      </c>
      <c r="C16" s="522">
        <f>Application!$O704</f>
        <v>0</v>
      </c>
      <c r="D16" s="523"/>
      <c r="E16" s="847"/>
      <c r="F16" s="522">
        <f t="shared" si="0"/>
        <v>0</v>
      </c>
      <c r="G16" s="523"/>
      <c r="H16" s="522">
        <f t="shared" si="1"/>
        <v>0</v>
      </c>
      <c r="I16" s="522">
        <f t="shared" si="2"/>
        <v>0</v>
      </c>
    </row>
    <row r="17" spans="1:9">
      <c r="A17" s="522">
        <f>Application!$B705</f>
        <v>0</v>
      </c>
      <c r="B17" s="848">
        <f>Application!$G705</f>
        <v>0</v>
      </c>
      <c r="C17" s="522">
        <f>Application!$O705</f>
        <v>0</v>
      </c>
      <c r="D17" s="523"/>
      <c r="E17" s="847"/>
      <c r="F17" s="522">
        <f t="shared" si="0"/>
        <v>0</v>
      </c>
      <c r="G17" s="523"/>
      <c r="H17" s="522">
        <f t="shared" si="1"/>
        <v>0</v>
      </c>
      <c r="I17" s="522">
        <f t="shared" si="2"/>
        <v>0</v>
      </c>
    </row>
    <row r="18" spans="1:9">
      <c r="A18" s="522">
        <f>Application!$B706</f>
        <v>0</v>
      </c>
      <c r="B18" s="848">
        <f>Application!$G706</f>
        <v>0</v>
      </c>
      <c r="C18" s="522">
        <f>Application!$O706</f>
        <v>0</v>
      </c>
      <c r="D18" s="523"/>
      <c r="E18" s="847"/>
      <c r="F18" s="522">
        <f t="shared" si="0"/>
        <v>0</v>
      </c>
      <c r="G18" s="523"/>
      <c r="H18" s="522">
        <f t="shared" si="1"/>
        <v>0</v>
      </c>
      <c r="I18" s="522">
        <f t="shared" si="2"/>
        <v>0</v>
      </c>
    </row>
    <row r="19" spans="1:9">
      <c r="A19" s="522">
        <f>Application!$B707</f>
        <v>0</v>
      </c>
      <c r="B19" s="848">
        <f>Application!$G707</f>
        <v>0</v>
      </c>
      <c r="C19" s="522">
        <f>Application!$O707</f>
        <v>0</v>
      </c>
      <c r="D19" s="523"/>
      <c r="E19" s="847"/>
      <c r="F19" s="522">
        <f t="shared" si="0"/>
        <v>0</v>
      </c>
      <c r="G19" s="523"/>
      <c r="H19" s="522">
        <f t="shared" si="1"/>
        <v>0</v>
      </c>
      <c r="I19" s="522">
        <f t="shared" si="2"/>
        <v>0</v>
      </c>
    </row>
    <row r="20" spans="1:9">
      <c r="A20" s="522">
        <f>Application!$B708</f>
        <v>0</v>
      </c>
      <c r="B20" s="848">
        <f>Application!$G708</f>
        <v>0</v>
      </c>
      <c r="C20" s="522">
        <f>Application!$O708</f>
        <v>0</v>
      </c>
      <c r="D20" s="523"/>
      <c r="E20" s="847"/>
      <c r="F20" s="522">
        <f t="shared" si="0"/>
        <v>0</v>
      </c>
      <c r="G20" s="523"/>
      <c r="H20" s="522">
        <f t="shared" si="1"/>
        <v>0</v>
      </c>
      <c r="I20" s="522">
        <f t="shared" si="2"/>
        <v>0</v>
      </c>
    </row>
    <row r="21" spans="1:9">
      <c r="A21" s="522">
        <f>Application!$B709</f>
        <v>0</v>
      </c>
      <c r="B21" s="848">
        <f>Application!$G709</f>
        <v>0</v>
      </c>
      <c r="C21" s="522">
        <f>Application!$O709</f>
        <v>0</v>
      </c>
      <c r="D21" s="523"/>
      <c r="E21" s="847"/>
      <c r="F21" s="522">
        <f t="shared" si="0"/>
        <v>0</v>
      </c>
      <c r="G21" s="523"/>
      <c r="H21" s="522">
        <f t="shared" si="1"/>
        <v>0</v>
      </c>
      <c r="I21" s="522">
        <f t="shared" si="2"/>
        <v>0</v>
      </c>
    </row>
    <row r="22" spans="1:9">
      <c r="A22" s="522">
        <f>Application!$B710</f>
        <v>0</v>
      </c>
      <c r="B22" s="848">
        <f>Application!$G710</f>
        <v>0</v>
      </c>
      <c r="C22" s="522">
        <f>Application!$O710</f>
        <v>0</v>
      </c>
      <c r="D22" s="523"/>
      <c r="E22" s="847"/>
      <c r="F22" s="522">
        <f t="shared" si="0"/>
        <v>0</v>
      </c>
      <c r="G22" s="523"/>
      <c r="H22" s="522">
        <f t="shared" si="1"/>
        <v>0</v>
      </c>
      <c r="I22" s="522">
        <f t="shared" si="2"/>
        <v>0</v>
      </c>
    </row>
    <row r="23" spans="1:9">
      <c r="A23" s="522">
        <f>Application!$B711</f>
        <v>0</v>
      </c>
      <c r="B23" s="848">
        <f>Application!$G711</f>
        <v>0</v>
      </c>
      <c r="C23" s="522">
        <f>Application!$O711</f>
        <v>0</v>
      </c>
      <c r="D23" s="523"/>
      <c r="E23" s="847"/>
      <c r="F23" s="522">
        <f t="shared" si="0"/>
        <v>0</v>
      </c>
      <c r="G23" s="523"/>
      <c r="H23" s="522">
        <f t="shared" si="1"/>
        <v>0</v>
      </c>
      <c r="I23" s="522">
        <f t="shared" si="2"/>
        <v>0</v>
      </c>
    </row>
    <row r="24" spans="1:9">
      <c r="A24" s="522">
        <f>Application!$B712</f>
        <v>0</v>
      </c>
      <c r="B24" s="848">
        <f>Application!$G712</f>
        <v>0</v>
      </c>
      <c r="C24" s="522">
        <f>Application!$O712</f>
        <v>0</v>
      </c>
      <c r="D24" s="523"/>
      <c r="E24" s="847"/>
      <c r="F24" s="522">
        <f t="shared" si="0"/>
        <v>0</v>
      </c>
      <c r="G24" s="523"/>
      <c r="H24" s="522">
        <f t="shared" si="1"/>
        <v>0</v>
      </c>
      <c r="I24" s="522">
        <f t="shared" si="2"/>
        <v>0</v>
      </c>
    </row>
    <row r="25" spans="1:9">
      <c r="A25" s="522">
        <f>Application!$B713</f>
        <v>0</v>
      </c>
      <c r="B25" s="848">
        <f>Application!$G713</f>
        <v>0</v>
      </c>
      <c r="C25" s="522">
        <f>Application!$O713</f>
        <v>0</v>
      </c>
      <c r="D25" s="523"/>
      <c r="E25" s="847"/>
      <c r="F25" s="522">
        <f t="shared" si="0"/>
        <v>0</v>
      </c>
      <c r="G25" s="523"/>
      <c r="H25" s="522">
        <f t="shared" si="1"/>
        <v>0</v>
      </c>
      <c r="I25" s="522">
        <f t="shared" si="2"/>
        <v>0</v>
      </c>
    </row>
    <row r="26" spans="1:9">
      <c r="A26" s="522">
        <f>Application!$B714</f>
        <v>0</v>
      </c>
      <c r="B26" s="848">
        <f>Application!$G714</f>
        <v>0</v>
      </c>
      <c r="C26" s="522">
        <f>Application!$O714</f>
        <v>0</v>
      </c>
      <c r="D26" s="523"/>
      <c r="E26" s="847"/>
      <c r="F26" s="522">
        <f t="shared" si="0"/>
        <v>0</v>
      </c>
      <c r="G26" s="523"/>
      <c r="H26" s="522">
        <f t="shared" si="1"/>
        <v>0</v>
      </c>
      <c r="I26" s="522">
        <f t="shared" si="2"/>
        <v>0</v>
      </c>
    </row>
    <row r="27" spans="1:9">
      <c r="A27" s="522">
        <f>Application!$B715</f>
        <v>0</v>
      </c>
      <c r="B27" s="848">
        <f>Application!$G715</f>
        <v>0</v>
      </c>
      <c r="C27" s="522">
        <f>Application!$O715</f>
        <v>0</v>
      </c>
      <c r="D27" s="523"/>
      <c r="E27" s="847"/>
      <c r="F27" s="522">
        <f t="shared" si="0"/>
        <v>0</v>
      </c>
      <c r="G27" s="523"/>
      <c r="H27" s="522">
        <f t="shared" si="1"/>
        <v>0</v>
      </c>
      <c r="I27" s="522">
        <f t="shared" si="2"/>
        <v>0</v>
      </c>
    </row>
    <row r="28" spans="1:9">
      <c r="A28" s="522">
        <f>Application!$B716</f>
        <v>0</v>
      </c>
      <c r="B28" s="848">
        <f>Application!$G716</f>
        <v>0</v>
      </c>
      <c r="C28" s="522">
        <f>Application!$O716</f>
        <v>0</v>
      </c>
      <c r="D28" s="523"/>
      <c r="E28" s="847"/>
      <c r="F28" s="522">
        <f t="shared" si="0"/>
        <v>0</v>
      </c>
      <c r="G28" s="523"/>
      <c r="H28" s="522">
        <f t="shared" si="1"/>
        <v>0</v>
      </c>
      <c r="I28" s="522">
        <f t="shared" si="2"/>
        <v>0</v>
      </c>
    </row>
    <row r="29" spans="1:9">
      <c r="A29" s="519"/>
      <c r="B29" s="519"/>
      <c r="C29" s="523"/>
      <c r="D29" s="523"/>
      <c r="E29" s="523"/>
      <c r="F29" s="523"/>
      <c r="G29" s="523"/>
      <c r="H29" s="523"/>
      <c r="I29" s="519"/>
    </row>
    <row r="30" spans="1:9" ht="14.1">
      <c r="A30" s="524" t="s">
        <v>2478</v>
      </c>
      <c r="B30" s="525"/>
      <c r="C30" s="526">
        <f>Application!$T$717*12</f>
        <v>359436</v>
      </c>
      <c r="D30" s="523"/>
      <c r="E30" s="523"/>
      <c r="F30" s="526">
        <f>SUM(F4:F28)*12</f>
        <v>485760</v>
      </c>
      <c r="G30" s="527"/>
      <c r="H30" s="525"/>
      <c r="I30" s="526">
        <f>SUM(I4:I28)*12</f>
        <v>328680</v>
      </c>
    </row>
    <row r="31" spans="1:9" ht="14.1">
      <c r="A31" s="524"/>
      <c r="B31" s="525"/>
      <c r="C31" s="527"/>
      <c r="D31" s="523"/>
      <c r="E31" s="523"/>
      <c r="F31" s="527"/>
      <c r="G31" s="527"/>
      <c r="H31" s="525"/>
      <c r="I31" s="527"/>
    </row>
    <row r="32" spans="1:9">
      <c r="A32" s="519" t="s">
        <v>2479</v>
      </c>
      <c r="B32" s="519"/>
      <c r="C32" s="519"/>
      <c r="D32" s="519"/>
      <c r="E32" s="519"/>
      <c r="F32" s="519"/>
      <c r="G32" s="519"/>
      <c r="H32" s="519"/>
      <c r="I32" s="519"/>
    </row>
    <row r="33" spans="1:9">
      <c r="A33" s="519" t="s">
        <v>2480</v>
      </c>
      <c r="B33" s="519"/>
      <c r="C33" s="519"/>
      <c r="D33" s="519"/>
      <c r="E33" s="519"/>
      <c r="F33" s="519"/>
      <c r="G33" s="519"/>
      <c r="H33" s="519"/>
      <c r="I33" s="519"/>
    </row>
    <row r="34" spans="1:9">
      <c r="A34" s="519" t="s">
        <v>2481</v>
      </c>
      <c r="B34" s="519"/>
      <c r="C34" s="519"/>
      <c r="D34" s="519"/>
      <c r="E34" s="519"/>
      <c r="F34" s="519"/>
      <c r="G34" s="519"/>
      <c r="H34" s="519"/>
      <c r="I34" s="519"/>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640625" defaultRowHeight="12.3"/>
  <cols>
    <col min="1" max="16384" width="9.16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3" zeroHeight="1"/>
  <cols>
    <col min="1" max="1" width="161.44140625" customWidth="1"/>
    <col min="2" max="16384" width="8.71875" hidden="1"/>
  </cols>
  <sheetData>
    <row r="1" spans="1:1" s="258" customFormat="1" ht="45" customHeight="1">
      <c r="A1" s="412" t="s">
        <v>2482</v>
      </c>
    </row>
    <row r="2" spans="1:1" ht="15.3">
      <c r="A2" s="410"/>
    </row>
    <row r="3" spans="1:1" ht="15.3">
      <c r="A3" s="411" t="s">
        <v>2483</v>
      </c>
    </row>
    <row r="4" spans="1:1" ht="15.3">
      <c r="A4" s="411" t="s">
        <v>2484</v>
      </c>
    </row>
    <row r="5" spans="1:1" ht="15.3">
      <c r="A5" s="411" t="s">
        <v>2485</v>
      </c>
    </row>
    <row r="6" spans="1:1" ht="15.3">
      <c r="A6" s="411" t="s">
        <v>2486</v>
      </c>
    </row>
    <row r="7" spans="1:1" ht="15.3">
      <c r="A7" s="411" t="s">
        <v>2487</v>
      </c>
    </row>
    <row r="8" spans="1:1" ht="15.3">
      <c r="A8" s="485" t="s">
        <v>2488</v>
      </c>
    </row>
    <row r="9" spans="1:1" ht="15.3">
      <c r="A9" s="411" t="s">
        <v>2489</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9" sqref="T19:X19"/>
    </sheetView>
  </sheetViews>
  <sheetFormatPr defaultColWidth="0" defaultRowHeight="13.35" customHeight="1" zeroHeight="1"/>
  <cols>
    <col min="1" max="1" width="1.44140625" customWidth="1"/>
    <col min="2" max="2" width="0.71875" customWidth="1"/>
    <col min="3" max="18" width="2.44140625" customWidth="1"/>
    <col min="19" max="19" width="4" customWidth="1"/>
    <col min="20" max="39" width="2.44140625" customWidth="1"/>
    <col min="40" max="40" width="1.44140625" customWidth="1"/>
    <col min="41" max="16384" width="2.44140625" hidden="1"/>
  </cols>
  <sheetData>
    <row r="1" spans="1:40" ht="13.35" customHeight="1">
      <c r="A1" s="1532" t="s">
        <v>2490</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row>
    <row r="2" spans="1:40" ht="13.35" customHeight="1" thickBo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row>
    <row r="3" spans="1:40" ht="13.3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35" customHeight="1"/>
    <row r="5" spans="1:40" ht="13.35" customHeight="1">
      <c r="A5" s="3" t="s">
        <v>854</v>
      </c>
      <c r="C5" s="3" t="s">
        <v>267</v>
      </c>
      <c r="F5" s="3"/>
    </row>
    <row r="6" spans="1:40" ht="13.35" customHeight="1">
      <c r="B6" s="74"/>
    </row>
    <row r="7" spans="1:40" ht="13.35" customHeight="1">
      <c r="B7" s="6"/>
      <c r="C7" s="7"/>
      <c r="D7" s="7"/>
      <c r="E7" s="7"/>
      <c r="F7" s="7"/>
      <c r="G7" s="7"/>
      <c r="H7" s="7"/>
      <c r="I7" s="7"/>
      <c r="J7" s="7"/>
      <c r="K7" s="7"/>
      <c r="L7" s="7"/>
      <c r="M7" s="7"/>
      <c r="N7" s="7"/>
      <c r="O7" s="7"/>
      <c r="P7" s="7"/>
      <c r="Q7" s="7"/>
      <c r="R7" s="7"/>
      <c r="S7" s="7"/>
      <c r="T7" s="1518" t="s">
        <v>2491</v>
      </c>
      <c r="U7" s="1518"/>
      <c r="V7" s="1518"/>
      <c r="W7" s="1518"/>
      <c r="X7" s="1518"/>
      <c r="Y7" s="1518" t="s">
        <v>2492</v>
      </c>
      <c r="Z7" s="1518"/>
      <c r="AA7" s="1518"/>
      <c r="AB7" s="1518"/>
      <c r="AC7" s="1518"/>
      <c r="AD7" s="1518" t="s">
        <v>2493</v>
      </c>
      <c r="AE7" s="1518"/>
      <c r="AF7" s="1518"/>
      <c r="AG7" s="1518"/>
      <c r="AH7" s="1518"/>
      <c r="AI7" s="1518" t="s">
        <v>2494</v>
      </c>
      <c r="AJ7" s="1518"/>
      <c r="AK7" s="1518"/>
      <c r="AL7" s="1518"/>
      <c r="AM7" s="1518"/>
    </row>
    <row r="8" spans="1:40" ht="13.35" customHeight="1">
      <c r="B8" s="175"/>
      <c r="T8" s="1518"/>
      <c r="U8" s="1518"/>
      <c r="V8" s="1518"/>
      <c r="W8" s="1518"/>
      <c r="X8" s="1518"/>
      <c r="Y8" s="1518"/>
      <c r="Z8" s="1518"/>
      <c r="AA8" s="1518"/>
      <c r="AB8" s="1518"/>
      <c r="AC8" s="1518"/>
      <c r="AD8" s="1518"/>
      <c r="AE8" s="1518"/>
      <c r="AF8" s="1518"/>
      <c r="AG8" s="1518"/>
      <c r="AH8" s="1518"/>
      <c r="AI8" s="1518"/>
      <c r="AJ8" s="1518"/>
      <c r="AK8" s="1518"/>
      <c r="AL8" s="1518"/>
      <c r="AM8" s="1518"/>
    </row>
    <row r="9" spans="1:40" ht="13.35" customHeight="1">
      <c r="B9" s="175"/>
      <c r="T9" s="1518"/>
      <c r="U9" s="1518"/>
      <c r="V9" s="1518"/>
      <c r="W9" s="1518"/>
      <c r="X9" s="1518"/>
      <c r="Y9" s="1518"/>
      <c r="Z9" s="1518"/>
      <c r="AA9" s="1518"/>
      <c r="AB9" s="1518"/>
      <c r="AC9" s="1518"/>
      <c r="AD9" s="1518"/>
      <c r="AE9" s="1518"/>
      <c r="AF9" s="1518"/>
      <c r="AG9" s="1518"/>
      <c r="AH9" s="1518"/>
      <c r="AI9" s="1518"/>
      <c r="AJ9" s="1518"/>
      <c r="AK9" s="1518"/>
      <c r="AL9" s="1518"/>
      <c r="AM9" s="1518"/>
    </row>
    <row r="10" spans="1:40" ht="13.35" customHeight="1">
      <c r="B10" s="46"/>
      <c r="C10" s="47"/>
      <c r="D10" s="47"/>
      <c r="E10" s="47"/>
      <c r="F10" s="47"/>
      <c r="G10" s="47"/>
      <c r="H10" s="47"/>
      <c r="I10" s="47"/>
      <c r="J10" s="47"/>
      <c r="K10" s="47"/>
      <c r="L10" s="47"/>
      <c r="M10" s="47"/>
      <c r="N10" s="47"/>
      <c r="O10" s="47"/>
      <c r="P10" s="47"/>
      <c r="Q10" s="47"/>
      <c r="R10" s="47"/>
      <c r="S10" s="47"/>
      <c r="T10" s="1518"/>
      <c r="U10" s="1518"/>
      <c r="V10" s="1518"/>
      <c r="W10" s="1518"/>
      <c r="X10" s="1518"/>
      <c r="Y10" s="1518"/>
      <c r="Z10" s="1518"/>
      <c r="AA10" s="1518"/>
      <c r="AB10" s="1518"/>
      <c r="AC10" s="1518"/>
      <c r="AD10" s="1518"/>
      <c r="AE10" s="1518"/>
      <c r="AF10" s="1518"/>
      <c r="AG10" s="1518"/>
      <c r="AH10" s="1518"/>
      <c r="AI10" s="1518"/>
      <c r="AJ10" s="1518"/>
      <c r="AK10" s="1518"/>
      <c r="AL10" s="1518"/>
      <c r="AM10" s="1518"/>
    </row>
    <row r="11" spans="1:40" ht="13.35" customHeight="1">
      <c r="B11" s="1049" t="s">
        <v>1799</v>
      </c>
      <c r="C11" s="1050"/>
      <c r="D11" s="1050"/>
      <c r="E11" s="1050"/>
      <c r="F11" s="1050"/>
      <c r="G11" s="1050"/>
      <c r="H11" s="1050"/>
      <c r="I11" s="1050"/>
      <c r="J11" s="1050"/>
      <c r="K11" s="1050"/>
      <c r="L11" s="1050"/>
      <c r="M11" s="1050"/>
      <c r="N11" s="1050"/>
      <c r="O11" s="1050"/>
      <c r="P11" s="1050"/>
      <c r="Q11" s="1050"/>
      <c r="R11" s="1050"/>
      <c r="S11" s="1052"/>
      <c r="T11" s="1544">
        <f>IF('Sources and Basis Breakdown'!F105=0,'Sources and Basis Breakdown'!E105,'Sources and Basis Breakdown'!F105)</f>
        <v>19835850</v>
      </c>
      <c r="U11" s="1535"/>
      <c r="V11" s="1535"/>
      <c r="W11" s="1535"/>
      <c r="X11" s="1535"/>
      <c r="Y11" s="1534">
        <f>IF('Sources and Basis Breakdown'!G105+'Sources and Basis Breakdown'!F105='Sources and Basis Breakdown'!E105,'Sources and Basis Breakdown'!G105,0)</f>
        <v>0</v>
      </c>
      <c r="Z11" s="1535"/>
      <c r="AA11" s="1535"/>
      <c r="AB11" s="1535"/>
      <c r="AC11" s="1535"/>
      <c r="AD11" s="1535">
        <f>IF('Sources and Basis Breakdown'!I105=0,'Sources and Basis Breakdown'!H105,'Sources and Basis Breakdown'!I105)</f>
        <v>0</v>
      </c>
      <c r="AE11" s="1535"/>
      <c r="AF11" s="1535"/>
      <c r="AG11" s="1535"/>
      <c r="AH11" s="1535"/>
      <c r="AI11" s="1535">
        <f>IF('Sources and Basis Breakdown'!I105+'Sources and Basis Breakdown'!J105='Sources and Basis Breakdown'!H105,'Sources and Basis Breakdown'!J105,0)</f>
        <v>0</v>
      </c>
      <c r="AJ11" s="1535"/>
      <c r="AK11" s="1535"/>
      <c r="AL11" s="1535"/>
      <c r="AM11" s="1535"/>
    </row>
    <row r="12" spans="1:40" ht="13.35" customHeight="1">
      <c r="B12" s="1540" t="s">
        <v>1800</v>
      </c>
      <c r="C12" s="964"/>
      <c r="D12" s="964"/>
      <c r="E12" s="964"/>
      <c r="F12" s="964"/>
      <c r="G12" s="964"/>
      <c r="H12" s="964"/>
      <c r="I12" s="964"/>
      <c r="J12" s="964"/>
      <c r="K12" s="964"/>
      <c r="L12" s="964"/>
      <c r="M12" s="964"/>
      <c r="N12" s="964"/>
      <c r="O12" s="964"/>
      <c r="P12" s="964"/>
      <c r="Q12" s="964"/>
      <c r="R12" s="964"/>
      <c r="S12" s="1541"/>
      <c r="T12" s="1537"/>
      <c r="U12" s="1538"/>
      <c r="V12" s="1538"/>
      <c r="W12" s="1538"/>
      <c r="X12" s="1539"/>
      <c r="Y12" s="1537"/>
      <c r="Z12" s="1538"/>
      <c r="AA12" s="1538"/>
      <c r="AB12" s="1538"/>
      <c r="AC12" s="1539"/>
      <c r="AD12" s="1537"/>
      <c r="AE12" s="1538"/>
      <c r="AF12" s="1538"/>
      <c r="AG12" s="1538"/>
      <c r="AH12" s="1539"/>
      <c r="AI12" s="1537"/>
      <c r="AJ12" s="1538"/>
      <c r="AK12" s="1538"/>
      <c r="AL12" s="1538"/>
      <c r="AM12" s="1539"/>
    </row>
    <row r="13" spans="1:40" ht="13.35" customHeight="1">
      <c r="B13" s="8"/>
      <c r="C13" s="1542" t="s">
        <v>1801</v>
      </c>
      <c r="D13" s="1542"/>
      <c r="E13" s="1542"/>
      <c r="F13" s="1542"/>
      <c r="G13" s="1542"/>
      <c r="H13" s="1542"/>
      <c r="I13" s="1542"/>
      <c r="J13" s="1542"/>
      <c r="K13" s="1542"/>
      <c r="L13" s="1542"/>
      <c r="M13" s="1542"/>
      <c r="N13" s="1542"/>
      <c r="O13" s="1542"/>
      <c r="P13" s="1542"/>
      <c r="Q13" s="1542"/>
      <c r="R13" s="1542"/>
      <c r="S13" s="1543"/>
      <c r="T13" s="1536">
        <f>'Basis &amp; Credits'!T13</f>
        <v>0</v>
      </c>
      <c r="U13" s="1533"/>
      <c r="V13" s="1533"/>
      <c r="W13" s="1533"/>
      <c r="X13" s="1533"/>
      <c r="Y13" s="1536">
        <f>'Basis &amp; Credits'!Y13</f>
        <v>0</v>
      </c>
      <c r="Z13" s="1533"/>
      <c r="AA13" s="1533"/>
      <c r="AB13" s="1533"/>
      <c r="AC13" s="1533"/>
      <c r="AD13" s="1533">
        <f>'Basis &amp; Credits'!AD13</f>
        <v>0</v>
      </c>
      <c r="AE13" s="1533"/>
      <c r="AF13" s="1533"/>
      <c r="AG13" s="1533"/>
      <c r="AH13" s="1533"/>
      <c r="AI13" s="1533">
        <f>'Basis &amp; Credits'!AI13</f>
        <v>0</v>
      </c>
      <c r="AJ13" s="1533"/>
      <c r="AK13" s="1533"/>
      <c r="AL13" s="1533"/>
      <c r="AM13" s="1533"/>
    </row>
    <row r="14" spans="1:40" ht="13.35" customHeight="1">
      <c r="B14" s="8"/>
      <c r="C14" s="1542" t="s">
        <v>1802</v>
      </c>
      <c r="D14" s="1542"/>
      <c r="E14" s="1542"/>
      <c r="F14" s="1542"/>
      <c r="G14" s="1542"/>
      <c r="H14" s="1542"/>
      <c r="I14" s="1542"/>
      <c r="J14" s="1542"/>
      <c r="K14" s="1542"/>
      <c r="L14" s="1542"/>
      <c r="M14" s="1542"/>
      <c r="N14" s="1542"/>
      <c r="O14" s="1542"/>
      <c r="P14" s="1542"/>
      <c r="Q14" s="1542"/>
      <c r="R14" s="1542"/>
      <c r="S14" s="1543"/>
      <c r="T14" s="1020">
        <f>'Basis &amp; Credits'!T14</f>
        <v>0</v>
      </c>
      <c r="U14" s="1191"/>
      <c r="V14" s="1191"/>
      <c r="W14" s="1191"/>
      <c r="X14" s="1191"/>
      <c r="Y14" s="1020">
        <f>'Basis &amp; Credits'!Y14</f>
        <v>0</v>
      </c>
      <c r="Z14" s="1191"/>
      <c r="AA14" s="1191"/>
      <c r="AB14" s="1191"/>
      <c r="AC14" s="1191"/>
      <c r="AD14" s="1191">
        <f>'Basis &amp; Credits'!AD14</f>
        <v>0</v>
      </c>
      <c r="AE14" s="1191"/>
      <c r="AF14" s="1191"/>
      <c r="AG14" s="1191"/>
      <c r="AH14" s="1191"/>
      <c r="AI14" s="1191">
        <f>'Basis &amp; Credits'!AI14</f>
        <v>0</v>
      </c>
      <c r="AJ14" s="1191"/>
      <c r="AK14" s="1191"/>
      <c r="AL14" s="1191"/>
      <c r="AM14" s="1191"/>
    </row>
    <row r="15" spans="1:40" ht="13.35" customHeight="1">
      <c r="B15" s="8"/>
      <c r="C15" s="1542" t="s">
        <v>1803</v>
      </c>
      <c r="D15" s="1542"/>
      <c r="E15" s="1542"/>
      <c r="F15" s="1542"/>
      <c r="G15" s="1542"/>
      <c r="H15" s="1542"/>
      <c r="I15" s="1542"/>
      <c r="J15" s="1542"/>
      <c r="K15" s="1542"/>
      <c r="L15" s="1542"/>
      <c r="M15" s="1542"/>
      <c r="N15" s="1542"/>
      <c r="O15" s="1542"/>
      <c r="P15" s="1542"/>
      <c r="Q15" s="1542"/>
      <c r="R15" s="1542"/>
      <c r="S15" s="1543"/>
      <c r="T15" s="1020">
        <f>'Basis &amp; Credits'!T15</f>
        <v>0</v>
      </c>
      <c r="U15" s="1191"/>
      <c r="V15" s="1191"/>
      <c r="W15" s="1191"/>
      <c r="X15" s="1191"/>
      <c r="Y15" s="1020">
        <f>'Basis &amp; Credits'!Y15</f>
        <v>0</v>
      </c>
      <c r="Z15" s="1191"/>
      <c r="AA15" s="1191"/>
      <c r="AB15" s="1191"/>
      <c r="AC15" s="1191"/>
      <c r="AD15" s="1191">
        <f>'Basis &amp; Credits'!AD15</f>
        <v>0</v>
      </c>
      <c r="AE15" s="1191"/>
      <c r="AF15" s="1191"/>
      <c r="AG15" s="1191"/>
      <c r="AH15" s="1191"/>
      <c r="AI15" s="1191">
        <f>'Basis &amp; Credits'!AI15</f>
        <v>0</v>
      </c>
      <c r="AJ15" s="1191"/>
      <c r="AK15" s="1191"/>
      <c r="AL15" s="1191"/>
      <c r="AM15" s="1191"/>
    </row>
    <row r="16" spans="1:40" ht="13.35" customHeight="1">
      <c r="B16" s="8"/>
      <c r="C16" s="1542" t="s">
        <v>1804</v>
      </c>
      <c r="D16" s="1542"/>
      <c r="E16" s="1542"/>
      <c r="F16" s="1542"/>
      <c r="G16" s="1542"/>
      <c r="H16" s="1542"/>
      <c r="I16" s="1542"/>
      <c r="J16" s="1542"/>
      <c r="K16" s="1542"/>
      <c r="L16" s="1542"/>
      <c r="M16" s="1542"/>
      <c r="N16" s="1542"/>
      <c r="O16" s="1542"/>
      <c r="P16" s="1542"/>
      <c r="Q16" s="1542"/>
      <c r="R16" s="1542"/>
      <c r="S16" s="1543"/>
      <c r="T16" s="1020">
        <f>'Basis &amp; Credits'!T16</f>
        <v>0</v>
      </c>
      <c r="U16" s="1191"/>
      <c r="V16" s="1191"/>
      <c r="W16" s="1191"/>
      <c r="X16" s="1191"/>
      <c r="Y16" s="1020">
        <f>'Basis &amp; Credits'!Y16</f>
        <v>0</v>
      </c>
      <c r="Z16" s="1191"/>
      <c r="AA16" s="1191"/>
      <c r="AB16" s="1191"/>
      <c r="AC16" s="1191"/>
      <c r="AD16" s="1191">
        <f>'Basis &amp; Credits'!AD16</f>
        <v>0</v>
      </c>
      <c r="AE16" s="1191"/>
      <c r="AF16" s="1191"/>
      <c r="AG16" s="1191"/>
      <c r="AH16" s="1191"/>
      <c r="AI16" s="1191">
        <f>'Basis &amp; Credits'!AI16</f>
        <v>0</v>
      </c>
      <c r="AJ16" s="1191"/>
      <c r="AK16" s="1191"/>
      <c r="AL16" s="1191"/>
      <c r="AM16" s="1191"/>
    </row>
    <row r="17" spans="1:39" ht="13.35" customHeight="1">
      <c r="B17" s="8"/>
      <c r="C17" s="1542" t="s">
        <v>1805</v>
      </c>
      <c r="D17" s="1542"/>
      <c r="E17" s="1542"/>
      <c r="F17" s="1542"/>
      <c r="G17" s="1542"/>
      <c r="H17" s="1542"/>
      <c r="I17" s="1542"/>
      <c r="J17" s="1542"/>
      <c r="K17" s="1542"/>
      <c r="L17" s="1542"/>
      <c r="M17" s="1542"/>
      <c r="N17" s="1542"/>
      <c r="O17" s="1542"/>
      <c r="P17" s="1542"/>
      <c r="Q17" s="1542"/>
      <c r="R17" s="1542"/>
      <c r="S17" s="1543"/>
      <c r="T17" s="1020">
        <f>'Basis &amp; Credits'!T17</f>
        <v>0</v>
      </c>
      <c r="U17" s="1191"/>
      <c r="V17" s="1191"/>
      <c r="W17" s="1191"/>
      <c r="X17" s="1191"/>
      <c r="Y17" s="1020">
        <f>'Basis &amp; Credits'!Y17</f>
        <v>0</v>
      </c>
      <c r="Z17" s="1191"/>
      <c r="AA17" s="1191"/>
      <c r="AB17" s="1191"/>
      <c r="AC17" s="1191"/>
      <c r="AD17" s="1191">
        <f>'Basis &amp; Credits'!AD17</f>
        <v>0</v>
      </c>
      <c r="AE17" s="1191"/>
      <c r="AF17" s="1191"/>
      <c r="AG17" s="1191"/>
      <c r="AH17" s="1191"/>
      <c r="AI17" s="1191">
        <f>'Basis &amp; Credits'!AI17</f>
        <v>0</v>
      </c>
      <c r="AJ17" s="1191"/>
      <c r="AK17" s="1191"/>
      <c r="AL17" s="1191"/>
      <c r="AM17" s="1191"/>
    </row>
    <row r="18" spans="1:39" ht="13.35" customHeight="1">
      <c r="B18" s="514"/>
      <c r="C18" s="1542" t="s">
        <v>2495</v>
      </c>
      <c r="D18" s="1542"/>
      <c r="E18" s="1542"/>
      <c r="F18" s="1542"/>
      <c r="G18" s="1542"/>
      <c r="H18" s="1542"/>
      <c r="I18" s="1542"/>
      <c r="J18" s="1542"/>
      <c r="K18" s="1542"/>
      <c r="L18" s="1542"/>
      <c r="M18" s="1542"/>
      <c r="N18" s="1542"/>
      <c r="O18" s="1542"/>
      <c r="P18" s="1542"/>
      <c r="Q18" s="1542"/>
      <c r="R18" s="1542"/>
      <c r="S18" s="1543"/>
      <c r="T18" s="1018">
        <f>'Basis &amp; Credits'!T18</f>
        <v>0</v>
      </c>
      <c r="U18" s="1019"/>
      <c r="V18" s="1019"/>
      <c r="W18" s="1019"/>
      <c r="X18" s="1020"/>
      <c r="Y18" s="1020">
        <f>'Basis &amp; Credits'!Y18</f>
        <v>0</v>
      </c>
      <c r="Z18" s="1191"/>
      <c r="AA18" s="1191"/>
      <c r="AB18" s="1191"/>
      <c r="AC18" s="1191"/>
      <c r="AD18" s="1191">
        <f>'Basis &amp; Credits'!AD18</f>
        <v>0</v>
      </c>
      <c r="AE18" s="1191"/>
      <c r="AF18" s="1191"/>
      <c r="AG18" s="1191"/>
      <c r="AH18" s="1191"/>
      <c r="AI18" s="1191">
        <f>'Basis &amp; Credits'!AI18</f>
        <v>0</v>
      </c>
      <c r="AJ18" s="1191"/>
      <c r="AK18" s="1191"/>
      <c r="AL18" s="1191"/>
      <c r="AM18" s="1191"/>
    </row>
    <row r="19" spans="1:39" ht="13.35" customHeight="1">
      <c r="B19" s="409"/>
      <c r="C19" s="1264" t="str">
        <f>'Basis &amp; Credits'!C19:S19</f>
        <v>Subtract (specify other ineligible amounts):</v>
      </c>
      <c r="D19" s="1264"/>
      <c r="E19" s="1264"/>
      <c r="F19" s="1264"/>
      <c r="G19" s="1264"/>
      <c r="H19" s="1264"/>
      <c r="I19" s="1264"/>
      <c r="J19" s="1264"/>
      <c r="K19" s="1264"/>
      <c r="L19" s="1264"/>
      <c r="M19" s="1264"/>
      <c r="N19" s="1264"/>
      <c r="O19" s="1264"/>
      <c r="P19" s="1264"/>
      <c r="Q19" s="1264"/>
      <c r="R19" s="1264"/>
      <c r="S19" s="1265"/>
      <c r="T19" s="1020">
        <f>'Basis &amp; Credits'!T19</f>
        <v>0</v>
      </c>
      <c r="U19" s="1191"/>
      <c r="V19" s="1191"/>
      <c r="W19" s="1191"/>
      <c r="X19" s="1191"/>
      <c r="Y19" s="1020">
        <f>'Basis &amp; Credits'!Y19</f>
        <v>0</v>
      </c>
      <c r="Z19" s="1191"/>
      <c r="AA19" s="1191"/>
      <c r="AB19" s="1191"/>
      <c r="AC19" s="1191"/>
      <c r="AD19" s="1191">
        <f>'Basis &amp; Credits'!AD19</f>
        <v>0</v>
      </c>
      <c r="AE19" s="1191"/>
      <c r="AF19" s="1191"/>
      <c r="AG19" s="1191"/>
      <c r="AH19" s="1191"/>
      <c r="AI19" s="1191">
        <f>'Basis &amp; Credits'!AI19</f>
        <v>0</v>
      </c>
      <c r="AJ19" s="1191"/>
      <c r="AK19" s="1191"/>
      <c r="AL19" s="1191"/>
      <c r="AM19" s="1191"/>
    </row>
    <row r="20" spans="1:39" ht="13.35" customHeight="1">
      <c r="B20" s="1049" t="s">
        <v>1807</v>
      </c>
      <c r="C20" s="1050"/>
      <c r="D20" s="1050"/>
      <c r="E20" s="1050"/>
      <c r="F20" s="1050"/>
      <c r="G20" s="1050"/>
      <c r="H20" s="1050"/>
      <c r="I20" s="1050"/>
      <c r="J20" s="1050"/>
      <c r="K20" s="1050"/>
      <c r="L20" s="1050"/>
      <c r="M20" s="1050"/>
      <c r="N20" s="1050"/>
      <c r="O20" s="1050"/>
      <c r="P20" s="1050"/>
      <c r="Q20" s="1050"/>
      <c r="R20" s="1050"/>
      <c r="S20" s="1052"/>
      <c r="T20" s="1515">
        <f>SUM(T13:X19)</f>
        <v>0</v>
      </c>
      <c r="U20" s="1251"/>
      <c r="V20" s="1251"/>
      <c r="W20" s="1251"/>
      <c r="X20" s="1251"/>
      <c r="Y20" s="1515">
        <f>SUM(Y13:AC19)</f>
        <v>0</v>
      </c>
      <c r="Z20" s="1251"/>
      <c r="AA20" s="1251"/>
      <c r="AB20" s="1251"/>
      <c r="AC20" s="1251"/>
      <c r="AD20" s="1251">
        <f>SUM(AD13:AH19)</f>
        <v>0</v>
      </c>
      <c r="AE20" s="1251"/>
      <c r="AF20" s="1251"/>
      <c r="AG20" s="1251"/>
      <c r="AH20" s="1251"/>
      <c r="AI20" s="1251">
        <f>SUM(AI13:AM19)</f>
        <v>0</v>
      </c>
      <c r="AJ20" s="1251"/>
      <c r="AK20" s="1251"/>
      <c r="AL20" s="1251"/>
      <c r="AM20" s="1251"/>
    </row>
    <row r="21" spans="1:39" ht="13.35" customHeight="1">
      <c r="B21" s="1049" t="s">
        <v>1808</v>
      </c>
      <c r="C21" s="1050"/>
      <c r="D21" s="1050"/>
      <c r="E21" s="1050"/>
      <c r="F21" s="1050"/>
      <c r="G21" s="1050"/>
      <c r="H21" s="1050"/>
      <c r="I21" s="1050"/>
      <c r="J21" s="1050"/>
      <c r="K21" s="1050"/>
      <c r="L21" s="1050"/>
      <c r="M21" s="1050"/>
      <c r="N21" s="1050"/>
      <c r="O21" s="1050"/>
      <c r="P21" s="1050"/>
      <c r="Q21" s="1050"/>
      <c r="R21" s="1050"/>
      <c r="S21" s="1052"/>
      <c r="T21" s="1020">
        <f>'Basis &amp; Credits'!E21</f>
        <v>0</v>
      </c>
      <c r="U21" s="1191"/>
      <c r="V21" s="1191"/>
      <c r="W21" s="1191"/>
      <c r="X21" s="1191"/>
      <c r="Y21" s="1020">
        <f>'Basis &amp; Credits'!J21</f>
        <v>0</v>
      </c>
      <c r="Z21" s="1191"/>
      <c r="AA21" s="1191"/>
      <c r="AB21" s="1191"/>
      <c r="AC21" s="1191"/>
      <c r="AD21" s="1191">
        <f>'Basis &amp; Credits'!O21</f>
        <v>0</v>
      </c>
      <c r="AE21" s="1191"/>
      <c r="AF21" s="1191"/>
      <c r="AG21" s="1191"/>
      <c r="AH21" s="1191"/>
      <c r="AI21" s="1191">
        <f>'Basis &amp; Credits'!T21</f>
        <v>4863879</v>
      </c>
      <c r="AJ21" s="1191"/>
      <c r="AK21" s="1191"/>
      <c r="AL21" s="1191"/>
      <c r="AM21" s="1191"/>
    </row>
    <row r="22" spans="1:39" ht="13.35" customHeight="1">
      <c r="B22" s="1049" t="s">
        <v>1809</v>
      </c>
      <c r="C22" s="1050"/>
      <c r="D22" s="1050"/>
      <c r="E22" s="1050"/>
      <c r="F22" s="1050"/>
      <c r="G22" s="1050"/>
      <c r="H22" s="1050"/>
      <c r="I22" s="1050"/>
      <c r="J22" s="1050"/>
      <c r="K22" s="1050"/>
      <c r="L22" s="1050"/>
      <c r="M22" s="1050"/>
      <c r="N22" s="1050"/>
      <c r="O22" s="1050"/>
      <c r="P22" s="1050"/>
      <c r="Q22" s="1050"/>
      <c r="R22" s="1050"/>
      <c r="S22" s="1052"/>
      <c r="T22" s="1545">
        <f>(T20+T21)*-1</f>
        <v>0</v>
      </c>
      <c r="U22" s="1546"/>
      <c r="V22" s="1546"/>
      <c r="W22" s="1546"/>
      <c r="X22" s="1546"/>
      <c r="Y22" s="1545">
        <f>(Y20+Y21)*-1</f>
        <v>0</v>
      </c>
      <c r="Z22" s="1546"/>
      <c r="AA22" s="1546"/>
      <c r="AB22" s="1546"/>
      <c r="AC22" s="1546"/>
      <c r="AD22" s="1545">
        <f>(AD20+AD21)*-1</f>
        <v>0</v>
      </c>
      <c r="AE22" s="1546"/>
      <c r="AF22" s="1546"/>
      <c r="AG22" s="1546"/>
      <c r="AH22" s="1546"/>
      <c r="AI22" s="1545">
        <f>(AI20+AI21)*-1</f>
        <v>-4863879</v>
      </c>
      <c r="AJ22" s="1546"/>
      <c r="AK22" s="1546"/>
      <c r="AL22" s="1546"/>
      <c r="AM22" s="1546"/>
    </row>
    <row r="23" spans="1:39" ht="13.35" customHeight="1">
      <c r="B23" s="1049" t="s">
        <v>2496</v>
      </c>
      <c r="C23" s="1050"/>
      <c r="D23" s="1050"/>
      <c r="E23" s="1050"/>
      <c r="F23" s="1050"/>
      <c r="G23" s="1050"/>
      <c r="H23" s="1050"/>
      <c r="I23" s="1050"/>
      <c r="J23" s="1050"/>
      <c r="K23" s="1050"/>
      <c r="L23" s="1050"/>
      <c r="M23" s="1050"/>
      <c r="N23" s="1050"/>
      <c r="O23" s="1050"/>
      <c r="P23" s="1050"/>
      <c r="Q23" s="1050"/>
      <c r="R23" s="1050"/>
      <c r="S23" s="1052"/>
      <c r="T23" s="1515">
        <f>T11+T22</f>
        <v>19835850</v>
      </c>
      <c r="U23" s="1251"/>
      <c r="V23" s="1251"/>
      <c r="W23" s="1251"/>
      <c r="X23" s="1251"/>
      <c r="Y23" s="1515">
        <f>Y11+Y22</f>
        <v>0</v>
      </c>
      <c r="Z23" s="1251"/>
      <c r="AA23" s="1251"/>
      <c r="AB23" s="1251"/>
      <c r="AC23" s="1251"/>
      <c r="AD23" s="1515">
        <f>AD11+AD22</f>
        <v>0</v>
      </c>
      <c r="AE23" s="1251"/>
      <c r="AF23" s="1251"/>
      <c r="AG23" s="1251"/>
      <c r="AH23" s="1251"/>
      <c r="AI23" s="1515">
        <f>AI11+AI22</f>
        <v>-4863879</v>
      </c>
      <c r="AJ23" s="1251"/>
      <c r="AK23" s="1251"/>
      <c r="AL23" s="1251"/>
      <c r="AM23" s="1251"/>
    </row>
    <row r="24" spans="1:39" ht="13.35" customHeight="1">
      <c r="B24" s="1049" t="s">
        <v>1811</v>
      </c>
      <c r="C24" s="1050"/>
      <c r="D24" s="1050"/>
      <c r="E24" s="1050"/>
      <c r="F24" s="1050"/>
      <c r="G24" s="1050"/>
      <c r="H24" s="1050"/>
      <c r="I24" s="1050"/>
      <c r="J24" s="1050"/>
      <c r="K24" s="1050"/>
      <c r="L24" s="1050"/>
      <c r="M24" s="1050"/>
      <c r="N24" s="1050"/>
      <c r="O24" s="1050"/>
      <c r="P24" s="1050"/>
      <c r="Q24" s="1050"/>
      <c r="R24" s="1050"/>
      <c r="S24" s="1052"/>
      <c r="T24" s="1516">
        <f>Application!AD979</f>
        <v>0</v>
      </c>
      <c r="U24" s="1517"/>
      <c r="V24" s="1517"/>
      <c r="W24" s="1517"/>
      <c r="X24" s="1517"/>
      <c r="Y24" s="1517"/>
      <c r="Z24" s="1517"/>
      <c r="AA24" s="1517"/>
      <c r="AB24" s="1517"/>
      <c r="AC24" s="1517"/>
      <c r="AD24" s="1517"/>
      <c r="AE24" s="1517"/>
      <c r="AF24" s="1517"/>
      <c r="AG24" s="1517"/>
      <c r="AH24" s="1517"/>
      <c r="AI24" s="1517"/>
      <c r="AJ24" s="1517"/>
      <c r="AK24" s="1517"/>
      <c r="AL24" s="1517"/>
      <c r="AM24" s="1515"/>
    </row>
    <row r="25" spans="1:39" ht="13.35" customHeight="1">
      <c r="B25" s="1554" t="s">
        <v>2497</v>
      </c>
      <c r="C25" s="1555"/>
      <c r="D25" s="1555"/>
      <c r="E25" s="1555"/>
      <c r="F25" s="1555"/>
      <c r="G25" s="1555"/>
      <c r="H25" s="1555"/>
      <c r="I25" s="1555"/>
      <c r="J25" s="1555"/>
      <c r="K25" s="1555"/>
      <c r="L25" s="1555"/>
      <c r="M25" s="1555"/>
      <c r="N25" s="1555"/>
      <c r="O25" s="1555"/>
      <c r="P25" s="1555"/>
      <c r="Q25" s="1555"/>
      <c r="R25" s="1555"/>
      <c r="S25" s="1556"/>
      <c r="T25" s="1547">
        <v>1</v>
      </c>
      <c r="U25" s="1548"/>
      <c r="V25" s="1548"/>
      <c r="W25" s="1548"/>
      <c r="X25" s="1551"/>
      <c r="Y25" s="1547">
        <v>1</v>
      </c>
      <c r="Z25" s="1548"/>
      <c r="AA25" s="1548"/>
      <c r="AB25" s="1548"/>
      <c r="AC25" s="1551"/>
      <c r="AD25" s="1547">
        <v>1</v>
      </c>
      <c r="AE25" s="1548"/>
      <c r="AF25" s="1548"/>
      <c r="AG25" s="1548"/>
      <c r="AH25" s="1551"/>
      <c r="AI25" s="1547">
        <v>1</v>
      </c>
      <c r="AJ25" s="1548"/>
      <c r="AK25" s="1548"/>
      <c r="AL25" s="1548"/>
      <c r="AM25" s="1551"/>
    </row>
    <row r="26" spans="1:39" ht="13.35" customHeight="1">
      <c r="B26" s="1049" t="s">
        <v>1813</v>
      </c>
      <c r="C26" s="1050"/>
      <c r="D26" s="1050"/>
      <c r="E26" s="1050"/>
      <c r="F26" s="1050"/>
      <c r="G26" s="1050"/>
      <c r="H26" s="1050"/>
      <c r="I26" s="1050"/>
      <c r="J26" s="1050"/>
      <c r="K26" s="1050"/>
      <c r="L26" s="1050"/>
      <c r="M26" s="1050"/>
      <c r="N26" s="1050"/>
      <c r="O26" s="1050"/>
      <c r="P26" s="1050"/>
      <c r="Q26" s="1050"/>
      <c r="R26" s="1050"/>
      <c r="S26" s="1052"/>
      <c r="T26" s="1187">
        <f>T23*T25</f>
        <v>19835850</v>
      </c>
      <c r="U26" s="1370"/>
      <c r="V26" s="1370"/>
      <c r="W26" s="1370"/>
      <c r="X26" s="1370"/>
      <c r="Y26" s="1187">
        <f>Y23*Y25</f>
        <v>0</v>
      </c>
      <c r="Z26" s="1370"/>
      <c r="AA26" s="1370"/>
      <c r="AB26" s="1370"/>
      <c r="AC26" s="1370"/>
      <c r="AD26" s="1187">
        <f>AD23*AD25</f>
        <v>0</v>
      </c>
      <c r="AE26" s="1370"/>
      <c r="AF26" s="1370"/>
      <c r="AG26" s="1370"/>
      <c r="AH26" s="1370"/>
      <c r="AI26" s="1187">
        <f>AI23*AI25</f>
        <v>-4863879</v>
      </c>
      <c r="AJ26" s="1370"/>
      <c r="AK26" s="1370"/>
      <c r="AL26" s="1370"/>
      <c r="AM26" s="1370"/>
    </row>
    <row r="27" spans="1:39" ht="13.35" customHeight="1">
      <c r="A27" s="4"/>
      <c r="B27" s="1554" t="s">
        <v>1814</v>
      </c>
      <c r="C27" s="1555"/>
      <c r="D27" s="1555"/>
      <c r="E27" s="1555"/>
      <c r="F27" s="1555"/>
      <c r="G27" s="1555"/>
      <c r="H27" s="1555"/>
      <c r="I27" s="1555"/>
      <c r="J27" s="1555"/>
      <c r="K27" s="1555"/>
      <c r="L27" s="1555"/>
      <c r="M27" s="1555"/>
      <c r="N27" s="1555"/>
      <c r="O27" s="1555"/>
      <c r="P27" s="1555"/>
      <c r="Q27" s="1555"/>
      <c r="R27" s="1555"/>
      <c r="S27" s="1556"/>
      <c r="T27" s="1549">
        <f>Application!AG438</f>
        <v>1</v>
      </c>
      <c r="U27" s="1550"/>
      <c r="V27" s="1550"/>
      <c r="W27" s="1550"/>
      <c r="X27" s="1550"/>
      <c r="Y27" s="1549">
        <f>Application!AG438</f>
        <v>1</v>
      </c>
      <c r="Z27" s="1550"/>
      <c r="AA27" s="1550"/>
      <c r="AB27" s="1550"/>
      <c r="AC27" s="1550"/>
      <c r="AD27" s="1549">
        <f>Application!AG438</f>
        <v>1</v>
      </c>
      <c r="AE27" s="1550"/>
      <c r="AF27" s="1550"/>
      <c r="AG27" s="1550"/>
      <c r="AH27" s="1550"/>
      <c r="AI27" s="1549">
        <f>Application!AG438</f>
        <v>1</v>
      </c>
      <c r="AJ27" s="1550"/>
      <c r="AK27" s="1550"/>
      <c r="AL27" s="1550"/>
      <c r="AM27" s="1550"/>
    </row>
    <row r="28" spans="1:39" ht="13.35" customHeight="1">
      <c r="A28" s="3"/>
      <c r="B28" s="1049" t="s">
        <v>1815</v>
      </c>
      <c r="C28" s="1050"/>
      <c r="D28" s="1050"/>
      <c r="E28" s="1050"/>
      <c r="F28" s="1050"/>
      <c r="G28" s="1050"/>
      <c r="H28" s="1050"/>
      <c r="I28" s="1050"/>
      <c r="J28" s="1050"/>
      <c r="K28" s="1050"/>
      <c r="L28" s="1050"/>
      <c r="M28" s="1050"/>
      <c r="N28" s="1050"/>
      <c r="O28" s="1050"/>
      <c r="P28" s="1050"/>
      <c r="Q28" s="1050"/>
      <c r="R28" s="1050"/>
      <c r="S28" s="1052"/>
      <c r="T28" s="1187">
        <f>IF(ISERROR((T26*T27)),0,(T26*T27))</f>
        <v>19835850</v>
      </c>
      <c r="U28" s="1370"/>
      <c r="V28" s="1370"/>
      <c r="W28" s="1370"/>
      <c r="X28" s="1370"/>
      <c r="Y28" s="1187">
        <f>IF(ISERROR((Y26*Y27)),0,(Y26*Y27))</f>
        <v>0</v>
      </c>
      <c r="Z28" s="1370"/>
      <c r="AA28" s="1370"/>
      <c r="AB28" s="1370"/>
      <c r="AC28" s="1370"/>
      <c r="AD28" s="1187">
        <f>IF(ISERROR((AD26*AD27)),0,(AD26*AD27))</f>
        <v>0</v>
      </c>
      <c r="AE28" s="1370"/>
      <c r="AF28" s="1370"/>
      <c r="AG28" s="1370"/>
      <c r="AH28" s="1370"/>
      <c r="AI28" s="1187">
        <f>IF(ISERROR((AI26*AI27)),0,(AI26*AI27))</f>
        <v>-4863879</v>
      </c>
      <c r="AJ28" s="1370"/>
      <c r="AK28" s="1370"/>
      <c r="AL28" s="1370"/>
      <c r="AM28" s="1370"/>
    </row>
    <row r="29" spans="1:39" ht="13.35" customHeight="1">
      <c r="B29" s="1049" t="s">
        <v>1816</v>
      </c>
      <c r="C29" s="1050"/>
      <c r="D29" s="1050"/>
      <c r="E29" s="1050"/>
      <c r="F29" s="1050"/>
      <c r="G29" s="1050"/>
      <c r="H29" s="1050"/>
      <c r="I29" s="1050"/>
      <c r="J29" s="1050"/>
      <c r="K29" s="1050"/>
      <c r="L29" s="1050"/>
      <c r="M29" s="1050"/>
      <c r="N29" s="1050"/>
      <c r="O29" s="1050"/>
      <c r="P29" s="1050"/>
      <c r="Q29" s="1050"/>
      <c r="R29" s="1050"/>
      <c r="S29" s="1052"/>
      <c r="T29" s="1516">
        <f>T28+Y28+AD28+AI28</f>
        <v>14971971</v>
      </c>
      <c r="U29" s="1517"/>
      <c r="V29" s="1517"/>
      <c r="W29" s="1517"/>
      <c r="X29" s="1517"/>
      <c r="Y29" s="1517"/>
      <c r="Z29" s="1517"/>
      <c r="AA29" s="1517"/>
      <c r="AB29" s="1517"/>
      <c r="AC29" s="1517"/>
      <c r="AD29" s="1517"/>
      <c r="AE29" s="1517"/>
      <c r="AF29" s="1517"/>
      <c r="AG29" s="1517"/>
      <c r="AH29" s="1517"/>
      <c r="AI29" s="1517"/>
      <c r="AJ29" s="1517"/>
      <c r="AK29" s="1517"/>
      <c r="AL29" s="1517"/>
      <c r="AM29" s="1515"/>
    </row>
    <row r="30" spans="1:39" ht="13.35" customHeight="1">
      <c r="B30" s="1860"/>
      <c r="C30" s="1860"/>
      <c r="D30" s="1860"/>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row>
    <row r="31" spans="1:39" ht="13.35" customHeight="1">
      <c r="C31" s="282"/>
      <c r="X31" s="55"/>
      <c r="Y31" s="159"/>
      <c r="Z31" s="159"/>
      <c r="AA31" s="159"/>
      <c r="AB31" s="159"/>
      <c r="AC31" s="159"/>
      <c r="AD31" s="159"/>
      <c r="AE31" s="159"/>
      <c r="AF31" s="159"/>
      <c r="AG31" s="159"/>
      <c r="AH31" s="159"/>
    </row>
    <row r="32" spans="1:39" ht="13.35" customHeight="1">
      <c r="C32" s="4"/>
      <c r="X32" s="55"/>
      <c r="Y32" s="159"/>
      <c r="Z32" s="159"/>
      <c r="AA32" s="159"/>
      <c r="AB32" s="159"/>
      <c r="AC32" s="159"/>
      <c r="AD32" s="159"/>
      <c r="AE32" s="159"/>
      <c r="AF32" s="159"/>
      <c r="AG32" s="159"/>
      <c r="AH32" s="159"/>
    </row>
    <row r="33" spans="1:40" ht="13.35" customHeight="1">
      <c r="A33" s="3" t="s">
        <v>889</v>
      </c>
      <c r="C33" s="3" t="s">
        <v>276</v>
      </c>
    </row>
    <row r="34" spans="1:40" ht="13.35" customHeight="1">
      <c r="A34" s="3"/>
      <c r="C34" s="3"/>
    </row>
    <row r="35" spans="1:40" ht="13.35" customHeight="1">
      <c r="B35" s="6"/>
      <c r="C35" s="7"/>
      <c r="D35" s="7"/>
      <c r="E35" s="7"/>
      <c r="F35" s="7"/>
      <c r="G35" s="7"/>
      <c r="H35" s="7"/>
      <c r="I35" s="7"/>
      <c r="J35" s="7"/>
      <c r="K35" s="7"/>
      <c r="L35" s="7"/>
      <c r="M35" s="7"/>
      <c r="N35" s="7"/>
      <c r="O35" s="7"/>
      <c r="P35" s="7"/>
      <c r="Q35" s="7"/>
      <c r="R35" s="7"/>
      <c r="S35" s="7"/>
      <c r="T35" s="7"/>
      <c r="U35" s="7"/>
      <c r="V35" s="7"/>
      <c r="W35" s="7"/>
      <c r="X35" s="57"/>
      <c r="Y35" s="1518" t="s">
        <v>1819</v>
      </c>
      <c r="Z35" s="1518"/>
      <c r="AA35" s="1518"/>
      <c r="AB35" s="1518"/>
      <c r="AC35" s="1518"/>
      <c r="AD35" s="1177" t="s">
        <v>1820</v>
      </c>
      <c r="AE35" s="1177"/>
      <c r="AF35" s="1177"/>
      <c r="AG35" s="1177"/>
      <c r="AH35" s="1177"/>
    </row>
    <row r="36" spans="1:40" ht="13.35" customHeight="1">
      <c r="B36" s="175"/>
      <c r="X36" s="63"/>
      <c r="Y36" s="1518"/>
      <c r="Z36" s="1518"/>
      <c r="AA36" s="1518"/>
      <c r="AB36" s="1518"/>
      <c r="AC36" s="1518"/>
      <c r="AD36" s="1177"/>
      <c r="AE36" s="1177"/>
      <c r="AF36" s="1177"/>
      <c r="AG36" s="1177"/>
      <c r="AH36" s="1177"/>
    </row>
    <row r="37" spans="1:40" ht="13.35" customHeight="1">
      <c r="B37" s="46"/>
      <c r="C37" s="47"/>
      <c r="D37" s="47"/>
      <c r="E37" s="47"/>
      <c r="F37" s="47"/>
      <c r="G37" s="47"/>
      <c r="H37" s="47"/>
      <c r="I37" s="47"/>
      <c r="J37" s="47"/>
      <c r="K37" s="47"/>
      <c r="L37" s="47"/>
      <c r="M37" s="47"/>
      <c r="N37" s="47"/>
      <c r="O37" s="47"/>
      <c r="P37" s="47"/>
      <c r="Q37" s="47"/>
      <c r="R37" s="47"/>
      <c r="S37" s="47"/>
      <c r="T37" s="47"/>
      <c r="U37" s="47"/>
      <c r="V37" s="47"/>
      <c r="W37" s="47"/>
      <c r="X37" s="48"/>
      <c r="Y37" s="1518"/>
      <c r="Z37" s="1518"/>
      <c r="AA37" s="1518"/>
      <c r="AB37" s="1518"/>
      <c r="AC37" s="1518"/>
      <c r="AD37" s="1177"/>
      <c r="AE37" s="1177"/>
      <c r="AF37" s="1177"/>
      <c r="AG37" s="1177"/>
      <c r="AH37" s="1177"/>
    </row>
    <row r="38" spans="1:40" ht="13.35" customHeight="1">
      <c r="A38" s="3"/>
      <c r="B38" s="1049" t="s">
        <v>1815</v>
      </c>
      <c r="C38" s="1050"/>
      <c r="D38" s="1050"/>
      <c r="E38" s="1050"/>
      <c r="F38" s="1050"/>
      <c r="G38" s="1050"/>
      <c r="H38" s="1050"/>
      <c r="I38" s="1050"/>
      <c r="J38" s="1050"/>
      <c r="K38" s="1050"/>
      <c r="L38" s="1050"/>
      <c r="M38" s="1050"/>
      <c r="N38" s="1050"/>
      <c r="O38" s="1050"/>
      <c r="P38" s="1050"/>
      <c r="Q38" s="1050"/>
      <c r="R38" s="1050"/>
      <c r="S38" s="1050"/>
      <c r="T38" s="1050"/>
      <c r="U38" s="1050"/>
      <c r="V38" s="1050"/>
      <c r="W38" s="1050"/>
      <c r="X38" s="1052"/>
      <c r="Y38" s="1251">
        <f>IF(T24&gt;=(T23+Y23+AD23+AI23),T28+Y28,0)</f>
        <v>0</v>
      </c>
      <c r="Z38" s="1251"/>
      <c r="AA38" s="1251"/>
      <c r="AB38" s="1251"/>
      <c r="AC38" s="1251"/>
      <c r="AD38" s="1251">
        <f>IF(T24&gt;=(T23+Y23+AD23+AI23),AD28+AI28,0)</f>
        <v>0</v>
      </c>
      <c r="AE38" s="1251"/>
      <c r="AF38" s="1251"/>
      <c r="AG38" s="1251"/>
      <c r="AH38" s="1251"/>
    </row>
    <row r="39" spans="1:40" ht="13.35" customHeight="1">
      <c r="B39" s="1049" t="s">
        <v>2498</v>
      </c>
      <c r="C39" s="1050"/>
      <c r="D39" s="1050"/>
      <c r="E39" s="1050"/>
      <c r="F39" s="1050"/>
      <c r="G39" s="1050"/>
      <c r="H39" s="1050"/>
      <c r="I39" s="1050"/>
      <c r="J39" s="1050"/>
      <c r="K39" s="1050"/>
      <c r="L39" s="1050"/>
      <c r="M39" s="1050"/>
      <c r="N39" s="1050"/>
      <c r="O39" s="1050"/>
      <c r="P39" s="1050"/>
      <c r="Q39" s="1050"/>
      <c r="R39" s="1050"/>
      <c r="S39" s="1050"/>
      <c r="T39" s="1050"/>
      <c r="U39" s="1050"/>
      <c r="V39" s="1050"/>
      <c r="W39" s="1050"/>
      <c r="X39" s="1052"/>
      <c r="Y39" s="1861">
        <v>0.04</v>
      </c>
      <c r="Z39" s="1861"/>
      <c r="AA39" s="1861"/>
      <c r="AB39" s="1861"/>
      <c r="AC39" s="1861"/>
      <c r="AD39" s="1861">
        <f>'Basis &amp; Credits'!AD39:AH39</f>
        <v>0.04</v>
      </c>
      <c r="AE39" s="1861"/>
      <c r="AF39" s="1861"/>
      <c r="AG39" s="1861"/>
      <c r="AH39" s="1861"/>
    </row>
    <row r="40" spans="1:40" ht="13.35" customHeight="1">
      <c r="A40" s="3"/>
      <c r="B40" s="1049" t="s">
        <v>1822</v>
      </c>
      <c r="C40" s="1050"/>
      <c r="D40" s="1050"/>
      <c r="E40" s="1050"/>
      <c r="F40" s="1050"/>
      <c r="G40" s="1050"/>
      <c r="H40" s="1050"/>
      <c r="I40" s="1050"/>
      <c r="J40" s="1050"/>
      <c r="K40" s="1050"/>
      <c r="L40" s="1050"/>
      <c r="M40" s="1050"/>
      <c r="N40" s="1050"/>
      <c r="O40" s="1050"/>
      <c r="P40" s="1050"/>
      <c r="Q40" s="1050"/>
      <c r="R40" s="1050"/>
      <c r="S40" s="1050"/>
      <c r="T40" s="1050"/>
      <c r="U40" s="1050"/>
      <c r="V40" s="1050"/>
      <c r="W40" s="1050"/>
      <c r="X40" s="1052"/>
      <c r="Y40" s="1251">
        <f>ROUND(Y38*Y39,0)</f>
        <v>0</v>
      </c>
      <c r="Z40" s="1251"/>
      <c r="AA40" s="1251"/>
      <c r="AB40" s="1251"/>
      <c r="AC40" s="1251"/>
      <c r="AD40" s="1515">
        <f>ROUND(AD38*AD39,0)</f>
        <v>0</v>
      </c>
      <c r="AE40" s="1251"/>
      <c r="AF40" s="1251"/>
      <c r="AG40" s="1251"/>
      <c r="AH40" s="1251"/>
    </row>
    <row r="41" spans="1:40" ht="13.35" customHeight="1">
      <c r="B41" s="1049" t="s">
        <v>1823</v>
      </c>
      <c r="C41" s="1050"/>
      <c r="D41" s="1050"/>
      <c r="E41" s="1050"/>
      <c r="F41" s="1050"/>
      <c r="G41" s="1050"/>
      <c r="H41" s="1050"/>
      <c r="I41" s="1050"/>
      <c r="J41" s="1050"/>
      <c r="K41" s="1050"/>
      <c r="L41" s="1050"/>
      <c r="M41" s="1050"/>
      <c r="N41" s="1050"/>
      <c r="O41" s="1050"/>
      <c r="P41" s="1050"/>
      <c r="Q41" s="1050"/>
      <c r="R41" s="1050"/>
      <c r="S41" s="1050"/>
      <c r="T41" s="1050"/>
      <c r="U41" s="1050"/>
      <c r="V41" s="1050"/>
      <c r="W41" s="1050"/>
      <c r="X41" s="1052"/>
      <c r="Y41" s="1516">
        <f>IF((Y40+AD40)&gt;2500000,2500000,Y40+AD40)</f>
        <v>0</v>
      </c>
      <c r="Z41" s="1517"/>
      <c r="AA41" s="1517"/>
      <c r="AB41" s="1517"/>
      <c r="AC41" s="1517"/>
      <c r="AD41" s="1517"/>
      <c r="AE41" s="1517"/>
      <c r="AF41" s="1517"/>
      <c r="AG41" s="1517"/>
      <c r="AH41" s="1515"/>
    </row>
    <row r="42" spans="1:40" ht="13.35" customHeight="1">
      <c r="A42" s="3"/>
      <c r="B42" s="1526" t="s">
        <v>2499</v>
      </c>
      <c r="C42" s="1526"/>
      <c r="D42" s="1526"/>
      <c r="E42" s="1526"/>
      <c r="F42" s="1526"/>
      <c r="G42" s="1526"/>
      <c r="H42" s="1526"/>
      <c r="I42" s="1526"/>
      <c r="J42" s="1526"/>
      <c r="K42" s="1526"/>
      <c r="L42" s="1526"/>
      <c r="M42" s="1526"/>
      <c r="N42" s="1526"/>
      <c r="O42" s="1526"/>
      <c r="P42" s="1526"/>
      <c r="Q42" s="1526"/>
      <c r="R42" s="1526"/>
      <c r="S42" s="1526"/>
      <c r="T42" s="1526"/>
      <c r="U42" s="1526"/>
      <c r="V42" s="1526"/>
      <c r="W42" s="1526"/>
      <c r="X42" s="1526"/>
      <c r="Y42" s="1526"/>
      <c r="Z42" s="1526"/>
      <c r="AA42" s="1526"/>
      <c r="AB42" s="1526"/>
      <c r="AC42" s="1526"/>
      <c r="AD42" s="1526"/>
      <c r="AE42" s="1526"/>
      <c r="AF42" s="1526"/>
      <c r="AG42" s="1526"/>
      <c r="AH42" s="1526"/>
      <c r="AI42" s="25"/>
      <c r="AJ42" s="25"/>
      <c r="AK42" s="25"/>
      <c r="AL42" s="25"/>
      <c r="AM42" s="25"/>
      <c r="AN42" s="25"/>
    </row>
    <row r="43" spans="1:40" ht="13.3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3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35" customHeight="1">
      <c r="A45" s="3" t="s">
        <v>970</v>
      </c>
      <c r="C45" s="3" t="s">
        <v>279</v>
      </c>
    </row>
    <row r="46" spans="1:40" ht="13.35" customHeight="1">
      <c r="D46" s="3" t="s">
        <v>1825</v>
      </c>
      <c r="AB46" s="1106">
        <f>'Sources and Uses Budget'!B104-'Sources and Uses Budget'!$B$15</f>
        <v>22529000</v>
      </c>
      <c r="AC46" s="1107"/>
      <c r="AD46" s="1107"/>
      <c r="AE46" s="1107"/>
      <c r="AF46" s="1108"/>
    </row>
    <row r="47" spans="1:40" ht="13.35" customHeight="1">
      <c r="D47" s="3" t="s">
        <v>184</v>
      </c>
      <c r="AB47" s="1106">
        <f>Application!AG630-MIN('Sources and Uses Budget'!B15,Application!AG385)</f>
        <v>0</v>
      </c>
      <c r="AC47" s="1107"/>
      <c r="AD47" s="1107"/>
      <c r="AE47" s="1107"/>
      <c r="AF47" s="1108"/>
    </row>
    <row r="48" spans="1:40" ht="13.35" customHeight="1">
      <c r="D48" s="3" t="s">
        <v>1826</v>
      </c>
      <c r="AB48" s="1106">
        <f>AB46-AB47</f>
        <v>22529000</v>
      </c>
      <c r="AC48" s="1107"/>
      <c r="AD48" s="1107"/>
      <c r="AE48" s="1107"/>
      <c r="AF48" s="1108"/>
    </row>
    <row r="49" spans="1:40" ht="13.35" customHeight="1">
      <c r="D49" s="3" t="s">
        <v>1827</v>
      </c>
      <c r="AA49" s="31"/>
      <c r="AB49" s="1521">
        <v>0.95</v>
      </c>
      <c r="AC49" s="1522"/>
      <c r="AD49" s="1522"/>
      <c r="AE49" s="1522"/>
      <c r="AF49" s="1523"/>
    </row>
    <row r="50" spans="1:40" s="271" customFormat="1" ht="13.35" customHeight="1">
      <c r="A50"/>
      <c r="B50"/>
      <c r="C50"/>
      <c r="D50"/>
      <c r="E50" s="1530" t="s">
        <v>2500</v>
      </c>
      <c r="F50" s="1530"/>
      <c r="G50" s="1530"/>
      <c r="H50" s="1530"/>
      <c r="I50" s="1530"/>
      <c r="J50" s="1530"/>
      <c r="K50" s="1530"/>
      <c r="L50" s="1530"/>
      <c r="M50" s="1530"/>
      <c r="N50" s="1530"/>
      <c r="O50" s="1530"/>
      <c r="P50" s="1530"/>
      <c r="Q50" s="1530"/>
      <c r="R50" s="1530"/>
      <c r="S50" s="1530"/>
      <c r="T50" s="1530"/>
      <c r="U50" s="1530"/>
      <c r="V50" s="1530"/>
      <c r="W50" s="1530"/>
      <c r="X50" s="1530"/>
      <c r="Y50" s="1530"/>
      <c r="Z50" s="1530"/>
      <c r="AA50" s="721"/>
      <c r="AB50" s="721"/>
      <c r="AC50" s="721"/>
      <c r="AD50" s="721"/>
      <c r="AE50" s="721"/>
      <c r="AF50" s="721"/>
      <c r="AG50"/>
      <c r="AH50"/>
      <c r="AI50"/>
      <c r="AJ50"/>
      <c r="AK50"/>
      <c r="AL50"/>
      <c r="AM50"/>
      <c r="AN50"/>
    </row>
    <row r="51" spans="1:40" s="271" customFormat="1" ht="13.35" customHeight="1">
      <c r="A51"/>
      <c r="B51"/>
      <c r="C51"/>
      <c r="D51"/>
      <c r="E51" s="1530"/>
      <c r="F51" s="1530"/>
      <c r="G51" s="1530"/>
      <c r="H51" s="1530"/>
      <c r="I51" s="1530"/>
      <c r="J51" s="1530"/>
      <c r="K51" s="1530"/>
      <c r="L51" s="1530"/>
      <c r="M51" s="1530"/>
      <c r="N51" s="1530"/>
      <c r="O51" s="1530"/>
      <c r="P51" s="1530"/>
      <c r="Q51" s="1530"/>
      <c r="R51" s="1530"/>
      <c r="S51" s="1530"/>
      <c r="T51" s="1530"/>
      <c r="U51" s="1530"/>
      <c r="V51" s="1530"/>
      <c r="W51" s="1530"/>
      <c r="X51" s="1530"/>
      <c r="Y51" s="1530"/>
      <c r="Z51" s="1530"/>
      <c r="AA51" s="415"/>
      <c r="AB51" s="415"/>
      <c r="AC51" s="415"/>
      <c r="AD51" s="415"/>
      <c r="AE51" s="415"/>
      <c r="AF51" s="415"/>
      <c r="AG51" s="85"/>
      <c r="AH51"/>
      <c r="AI51"/>
      <c r="AJ51"/>
      <c r="AK51"/>
      <c r="AL51"/>
      <c r="AM51"/>
      <c r="AN51"/>
    </row>
    <row r="52" spans="1:40" ht="13.3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35" customHeight="1">
      <c r="D53" s="3" t="s">
        <v>1829</v>
      </c>
      <c r="AB53" s="1106">
        <f>ROUND(IF(ISERROR((AB48/AB49)),0,(AB48/AB49)),0)</f>
        <v>23714737</v>
      </c>
      <c r="AC53" s="1107"/>
      <c r="AD53" s="1107"/>
      <c r="AE53" s="1107"/>
      <c r="AF53" s="1108"/>
    </row>
    <row r="54" spans="1:40" ht="13.35" customHeight="1">
      <c r="D54" s="3" t="s">
        <v>1830</v>
      </c>
      <c r="AB54" s="1106">
        <f>(AB53/10)</f>
        <v>2371473.7000000002</v>
      </c>
      <c r="AC54" s="1107"/>
      <c r="AD54" s="1107"/>
      <c r="AE54" s="1107"/>
      <c r="AF54" s="1108"/>
    </row>
    <row r="55" spans="1:40" ht="13.35" customHeight="1">
      <c r="D55" s="3" t="s">
        <v>1831</v>
      </c>
      <c r="AB55" s="1527">
        <f>(IF((Y41&lt;AB54),Y41,AB54))</f>
        <v>0</v>
      </c>
      <c r="AC55" s="1528"/>
      <c r="AD55" s="1528"/>
      <c r="AE55" s="1528"/>
      <c r="AF55" s="1529"/>
    </row>
    <row r="56" spans="1:40" ht="13.35" customHeight="1">
      <c r="D56" s="3" t="s">
        <v>1832</v>
      </c>
      <c r="AB56" s="1106">
        <f>ROUND((10*AB55*AB49),0)</f>
        <v>0</v>
      </c>
      <c r="AC56" s="1107"/>
      <c r="AD56" s="1107"/>
      <c r="AE56" s="1107"/>
      <c r="AF56" s="1108"/>
    </row>
    <row r="57" spans="1:40" ht="13.35" customHeight="1">
      <c r="D57" s="3"/>
      <c r="AB57" s="238"/>
      <c r="AC57" s="238"/>
      <c r="AD57" s="238"/>
      <c r="AE57" s="238"/>
      <c r="AF57" s="238"/>
    </row>
    <row r="58" spans="1:40" ht="13.35" customHeight="1">
      <c r="D58" s="3" t="s">
        <v>1833</v>
      </c>
      <c r="AB58" s="1112">
        <f>AB48-AB56</f>
        <v>22529000</v>
      </c>
      <c r="AC58" s="1112"/>
      <c r="AD58" s="1112"/>
      <c r="AE58" s="1112"/>
      <c r="AF58" s="1112"/>
    </row>
    <row r="59" spans="1:40" ht="13.3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35" customHeight="1" thickBot="1">
      <c r="A60" s="1511" t="s">
        <v>1834</v>
      </c>
      <c r="B60" s="1511"/>
      <c r="C60" s="1511"/>
      <c r="D60" s="1511"/>
      <c r="E60" s="1511"/>
      <c r="F60" s="1511"/>
      <c r="G60" s="1511"/>
      <c r="H60" s="1511"/>
      <c r="I60" s="1511"/>
      <c r="J60" s="1511"/>
      <c r="K60" s="1511"/>
      <c r="L60" s="1511"/>
      <c r="M60" s="1511"/>
      <c r="N60" s="1511"/>
      <c r="O60" s="1511"/>
      <c r="P60" s="1511"/>
      <c r="Q60" s="1511"/>
      <c r="R60" s="1511"/>
      <c r="S60" s="1511"/>
      <c r="T60" s="1511"/>
      <c r="U60" s="1511"/>
      <c r="V60" s="1511"/>
      <c r="W60" s="1511"/>
      <c r="X60" s="1511"/>
      <c r="Y60" s="1511"/>
      <c r="Z60" s="1511"/>
      <c r="AA60" s="1511"/>
      <c r="AB60" s="1511"/>
      <c r="AC60" s="1511"/>
      <c r="AD60" s="1511"/>
      <c r="AE60" s="1511"/>
      <c r="AF60" s="1511"/>
      <c r="AG60" s="1511"/>
      <c r="AH60" s="1511"/>
      <c r="AI60" s="1511"/>
      <c r="AJ60" s="1511"/>
      <c r="AK60" s="1511"/>
      <c r="AL60" s="1511"/>
      <c r="AM60" s="1511"/>
      <c r="AN60" s="1511"/>
    </row>
    <row r="61" spans="1:40" ht="13.35" customHeight="1" thickTop="1">
      <c r="A61" s="1130"/>
      <c r="B61" s="1130"/>
      <c r="C61" s="1130"/>
      <c r="D61" s="1130"/>
      <c r="E61" s="1130"/>
      <c r="F61" s="1130"/>
      <c r="G61" s="1130"/>
      <c r="H61" s="1130"/>
      <c r="I61" s="1130"/>
      <c r="J61" s="1130"/>
      <c r="K61" s="1130"/>
      <c r="L61" s="1130"/>
      <c r="M61" s="1130"/>
      <c r="N61" s="1130"/>
      <c r="O61" s="1130"/>
      <c r="P61" s="1130"/>
      <c r="Q61" s="1130"/>
      <c r="R61" s="1130"/>
      <c r="S61" s="1130"/>
      <c r="T61" s="1130"/>
      <c r="U61" s="1130"/>
      <c r="V61" s="1130"/>
      <c r="W61" s="1130"/>
      <c r="X61" s="1130"/>
      <c r="Y61" s="1130"/>
      <c r="Z61" s="1130"/>
      <c r="AA61" s="1130"/>
      <c r="AB61" s="1130"/>
      <c r="AC61" s="1130"/>
      <c r="AD61" s="1130"/>
      <c r="AE61" s="1130"/>
      <c r="AF61" s="1130"/>
      <c r="AG61" s="1130"/>
      <c r="AH61" s="1130"/>
      <c r="AI61" s="1130"/>
      <c r="AJ61" s="1130"/>
      <c r="AK61" s="1130"/>
      <c r="AL61" s="1130"/>
      <c r="AM61" s="1130"/>
      <c r="AN61" s="1130"/>
    </row>
    <row r="62" spans="1:40" ht="13.35" customHeight="1">
      <c r="A62" s="3" t="s">
        <v>991</v>
      </c>
      <c r="C62" s="3" t="s">
        <v>285</v>
      </c>
      <c r="Y62" s="1513" t="s">
        <v>1835</v>
      </c>
      <c r="Z62" s="1513"/>
      <c r="AA62" s="1513"/>
      <c r="AB62" s="1513"/>
      <c r="AC62" s="1513"/>
      <c r="AD62" s="1513" t="s">
        <v>1820</v>
      </c>
      <c r="AE62" s="1513"/>
      <c r="AF62" s="1513"/>
      <c r="AG62" s="1513"/>
      <c r="AH62" s="1513"/>
    </row>
    <row r="63" spans="1:40" ht="13.35" customHeight="1">
      <c r="C63" s="3"/>
      <c r="D63" s="107" t="s">
        <v>1836</v>
      </c>
      <c r="E63" s="15"/>
      <c r="F63" s="15"/>
      <c r="G63" s="15"/>
      <c r="H63" s="15"/>
      <c r="I63" s="15"/>
      <c r="J63" s="15"/>
      <c r="K63" s="15"/>
      <c r="L63" s="15"/>
      <c r="M63" s="15"/>
      <c r="N63" s="15"/>
      <c r="O63" s="15"/>
      <c r="P63" s="15"/>
      <c r="Q63" s="15"/>
      <c r="R63" s="15"/>
      <c r="S63" s="15"/>
      <c r="T63" s="15"/>
      <c r="U63" s="15"/>
      <c r="V63" s="15"/>
      <c r="W63" s="15"/>
      <c r="X63" s="15"/>
      <c r="Y63" s="1251">
        <f>Y28</f>
        <v>0</v>
      </c>
      <c r="Z63" s="1524"/>
      <c r="AA63" s="1524"/>
      <c r="AB63" s="1524"/>
      <c r="AC63" s="1524"/>
      <c r="AD63" s="1251">
        <f>AI28</f>
        <v>-4863879</v>
      </c>
      <c r="AE63" s="1524"/>
      <c r="AF63" s="1524"/>
      <c r="AG63" s="1524"/>
      <c r="AH63" s="1524"/>
    </row>
    <row r="64" spans="1:40" ht="13.35" customHeight="1">
      <c r="C64" s="3"/>
      <c r="E64" s="1512" t="s">
        <v>1837</v>
      </c>
      <c r="F64" s="1512"/>
      <c r="G64" s="1512"/>
      <c r="H64" s="1512"/>
      <c r="I64" s="1512"/>
      <c r="J64" s="1512"/>
      <c r="K64" s="1512"/>
      <c r="L64" s="1512"/>
      <c r="M64" s="1512"/>
      <c r="N64" s="1512"/>
      <c r="O64" s="1512"/>
      <c r="P64" s="1512"/>
      <c r="Q64" s="1512"/>
      <c r="R64" s="1512"/>
      <c r="S64" s="1512"/>
      <c r="T64" s="1512"/>
      <c r="U64" s="1512"/>
      <c r="V64" s="1512"/>
      <c r="W64" s="1512"/>
      <c r="X64" s="1512"/>
      <c r="Y64" s="1512"/>
      <c r="Z64" s="1512"/>
      <c r="AA64" s="1512"/>
      <c r="AB64" s="1512"/>
      <c r="AC64" s="1512"/>
      <c r="AD64" s="1512"/>
      <c r="AE64" s="1512"/>
      <c r="AF64" s="1512"/>
      <c r="AG64" s="1512"/>
      <c r="AH64" s="1512"/>
    </row>
    <row r="65" spans="1:34" ht="32.25" customHeight="1">
      <c r="C65" s="3"/>
      <c r="E65" s="1512"/>
      <c r="F65" s="1512"/>
      <c r="G65" s="1512"/>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row>
    <row r="66" spans="1:34" ht="13.35" customHeight="1">
      <c r="C66" s="3"/>
      <c r="D66" s="3" t="s">
        <v>1838</v>
      </c>
      <c r="E66" s="83"/>
      <c r="F66" s="83"/>
      <c r="G66" s="83"/>
      <c r="H66" s="83"/>
      <c r="I66" s="83"/>
      <c r="J66" s="83"/>
      <c r="K66" s="83"/>
      <c r="L66" s="83"/>
      <c r="M66" s="83"/>
      <c r="N66" s="83"/>
      <c r="O66" s="83"/>
      <c r="P66" s="83"/>
      <c r="Q66" s="83"/>
      <c r="R66" s="83"/>
      <c r="S66" s="83"/>
      <c r="T66" s="83"/>
      <c r="U66" s="83"/>
      <c r="V66" s="83"/>
      <c r="W66" s="83"/>
      <c r="X66" s="83"/>
      <c r="Y66" s="1520">
        <v>0.3</v>
      </c>
      <c r="Z66" s="1520"/>
      <c r="AA66" s="1520"/>
      <c r="AB66" s="1520"/>
      <c r="AC66" s="1520"/>
      <c r="AD66" s="1520">
        <v>0.13</v>
      </c>
      <c r="AE66" s="1520"/>
      <c r="AF66" s="1520"/>
      <c r="AG66" s="1520"/>
      <c r="AH66" s="1520"/>
    </row>
    <row r="67" spans="1:34" ht="13.35" customHeight="1">
      <c r="C67" s="3"/>
      <c r="D67" s="3" t="s">
        <v>1839</v>
      </c>
      <c r="Y67" s="1251">
        <f>ROUND(Y63*Y66,0)</f>
        <v>0</v>
      </c>
      <c r="Z67" s="1524"/>
      <c r="AA67" s="1524"/>
      <c r="AB67" s="1524"/>
      <c r="AC67" s="1524"/>
      <c r="AD67" s="1251" t="str">
        <f>IF(OR(Application!D211="At-Risk",Application!D211="At-Risk/Located in Rural Census Tract",Application!D214="At-Risk"),ROUND(AD63*AD66,0),"$0")</f>
        <v>$0</v>
      </c>
      <c r="AE67" s="1251"/>
      <c r="AF67" s="1251"/>
      <c r="AG67" s="1251"/>
      <c r="AH67" s="1251"/>
    </row>
    <row r="68" spans="1:34" ht="13.35" customHeight="1">
      <c r="C68" s="3"/>
      <c r="E68" s="3"/>
      <c r="AB68" s="2"/>
      <c r="AC68" s="2"/>
      <c r="AD68" s="2"/>
      <c r="AE68" s="2"/>
      <c r="AF68" s="2"/>
    </row>
    <row r="69" spans="1:34" ht="13.35" customHeight="1">
      <c r="A69" s="3" t="s">
        <v>1006</v>
      </c>
      <c r="C69" s="3" t="s">
        <v>288</v>
      </c>
    </row>
    <row r="70" spans="1:34" ht="13.35" customHeight="1">
      <c r="A70" s="3"/>
      <c r="C70" s="3"/>
      <c r="D70" s="3" t="s">
        <v>1841</v>
      </c>
      <c r="AB70" s="1521">
        <v>0.89</v>
      </c>
      <c r="AC70" s="1522"/>
      <c r="AD70" s="1522"/>
      <c r="AE70" s="1522"/>
      <c r="AF70" s="1523"/>
    </row>
    <row r="71" spans="1:34" ht="13.35" customHeight="1">
      <c r="A71" s="3"/>
      <c r="C71" s="3"/>
      <c r="D71" s="3"/>
      <c r="E71" s="1525" t="s">
        <v>1842</v>
      </c>
      <c r="F71" s="1525"/>
      <c r="G71" s="1525"/>
      <c r="H71" s="1525"/>
      <c r="I71" s="1525"/>
      <c r="J71" s="1525"/>
      <c r="K71" s="1525"/>
      <c r="L71" s="1525"/>
      <c r="M71" s="1525"/>
      <c r="N71" s="1525"/>
      <c r="O71" s="1525"/>
      <c r="P71" s="1525"/>
      <c r="Q71" s="1525"/>
      <c r="R71" s="1525"/>
      <c r="S71" s="1525"/>
      <c r="T71" s="1525"/>
      <c r="U71" s="1525"/>
      <c r="V71" s="1525"/>
      <c r="W71" s="1525"/>
      <c r="X71" s="1525"/>
      <c r="Y71" s="1525"/>
      <c r="Z71" s="1525"/>
      <c r="AA71" s="219"/>
      <c r="AB71" s="219"/>
      <c r="AC71" s="219"/>
    </row>
    <row r="72" spans="1:34" ht="13.35" customHeight="1">
      <c r="A72" s="3"/>
      <c r="C72" s="3"/>
      <c r="D72" s="3"/>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219"/>
      <c r="AB72" s="219"/>
      <c r="AC72" s="219"/>
    </row>
    <row r="73" spans="1:34" ht="13.35" customHeight="1">
      <c r="A73" s="3"/>
      <c r="C73" s="3"/>
      <c r="D73" s="3"/>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219"/>
      <c r="AB73" s="219"/>
      <c r="AC73" s="219"/>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1843</v>
      </c>
      <c r="AB75" s="1169">
        <f>ROUND(IF(ISERROR((AB58/AB70)),0,(AB58/AB70)),0)</f>
        <v>25313483</v>
      </c>
      <c r="AC75" s="1169"/>
      <c r="AD75" s="1169"/>
      <c r="AE75" s="1169"/>
      <c r="AF75" s="1169"/>
    </row>
    <row r="76" spans="1:34" ht="13.35" customHeight="1">
      <c r="C76" s="3"/>
      <c r="D76" s="3" t="s">
        <v>1844</v>
      </c>
      <c r="AB76" s="1164">
        <f>IF((Y67+AD67&lt;AB75),Y67+AD67,AB75)</f>
        <v>0</v>
      </c>
      <c r="AC76" s="1165"/>
      <c r="AD76" s="1165"/>
      <c r="AE76" s="1165"/>
      <c r="AF76" s="1166"/>
    </row>
    <row r="77" spans="1:34" ht="13.35" customHeight="1">
      <c r="C77" s="3"/>
      <c r="D77" s="3" t="s">
        <v>1845</v>
      </c>
      <c r="AB77" s="1519">
        <f>AB76*AB70</f>
        <v>0</v>
      </c>
      <c r="AC77" s="1519"/>
      <c r="AD77" s="1519"/>
      <c r="AE77" s="1519"/>
      <c r="AF77" s="1519"/>
    </row>
    <row r="78" spans="1:34" ht="13.35" customHeight="1">
      <c r="C78" s="3"/>
      <c r="D78" s="3"/>
      <c r="AB78" s="518"/>
      <c r="AC78" s="518"/>
      <c r="AD78" s="518"/>
      <c r="AE78" s="518"/>
      <c r="AF78" s="518"/>
    </row>
    <row r="79" spans="1:34" ht="13.35" customHeight="1">
      <c r="D79" s="3" t="s">
        <v>1833</v>
      </c>
      <c r="AB79" s="1112">
        <f>AB48-(AB56+AB77)</f>
        <v>22529000</v>
      </c>
      <c r="AC79" s="1112"/>
      <c r="AD79" s="1112"/>
      <c r="AE79" s="1112"/>
      <c r="AF79" s="1112"/>
    </row>
    <row r="80" spans="1:34" ht="13.35" customHeight="1">
      <c r="F80" s="16"/>
      <c r="J80" s="16" t="str">
        <f>IF(AB79&gt;0,"FUNDING GAP MUST NOT EXCEED ZERO","")</f>
        <v>FUNDING GAP MUST NOT EXCEED ZERO</v>
      </c>
    </row>
    <row r="81" spans="4:4" ht="13.35" hidden="1" customHeight="1">
      <c r="D81" s="108"/>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3.35" customHeight="1" zeroHeight="1"/>
  <cols>
    <col min="1" max="1" width="1.44140625" customWidth="1"/>
    <col min="2" max="2" width="0.71875" customWidth="1"/>
    <col min="3" max="18" width="2.44140625" customWidth="1"/>
    <col min="19" max="19" width="4" customWidth="1"/>
    <col min="20" max="39" width="2.44140625" customWidth="1"/>
    <col min="40" max="40" width="1.44140625" customWidth="1"/>
    <col min="41" max="16384" width="2.44140625" hidden="1"/>
  </cols>
  <sheetData>
    <row r="1" spans="1:40" ht="13.35" customHeight="1">
      <c r="A1" s="1532" t="s">
        <v>2501</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row>
    <row r="2" spans="1:40" ht="13.35" customHeight="1" thickBo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row>
    <row r="3" spans="1:40" ht="13.3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35" customHeight="1"/>
    <row r="5" spans="1:40" ht="13.35" customHeight="1">
      <c r="A5" s="3" t="s">
        <v>854</v>
      </c>
      <c r="C5" s="3" t="s">
        <v>267</v>
      </c>
      <c r="F5" s="3"/>
    </row>
    <row r="6" spans="1:40" ht="13.35" customHeight="1">
      <c r="B6" s="74"/>
    </row>
    <row r="7" spans="1:40" ht="13.35" customHeight="1">
      <c r="B7" s="6"/>
      <c r="C7" s="7"/>
      <c r="D7" s="7"/>
      <c r="E7" s="7"/>
      <c r="F7" s="7"/>
      <c r="G7" s="7"/>
      <c r="H7" s="7"/>
      <c r="I7" s="7"/>
      <c r="J7" s="7"/>
      <c r="K7" s="7"/>
      <c r="L7" s="7"/>
      <c r="M7" s="7"/>
      <c r="N7" s="7"/>
      <c r="O7" s="7"/>
      <c r="P7" s="7"/>
      <c r="Q7" s="7"/>
      <c r="R7" s="7"/>
      <c r="S7" s="7"/>
      <c r="T7" s="1518" t="s">
        <v>2491</v>
      </c>
      <c r="U7" s="1518"/>
      <c r="V7" s="1518"/>
      <c r="W7" s="1518"/>
      <c r="X7" s="1518"/>
      <c r="Y7" s="1518" t="s">
        <v>2492</v>
      </c>
      <c r="Z7" s="1518"/>
      <c r="AA7" s="1518"/>
      <c r="AB7" s="1518"/>
      <c r="AC7" s="1518"/>
      <c r="AD7" s="1518" t="s">
        <v>2493</v>
      </c>
      <c r="AE7" s="1518"/>
      <c r="AF7" s="1518"/>
      <c r="AG7" s="1518"/>
      <c r="AH7" s="1518"/>
      <c r="AI7" s="1518" t="s">
        <v>2494</v>
      </c>
      <c r="AJ7" s="1518"/>
      <c r="AK7" s="1518"/>
      <c r="AL7" s="1518"/>
      <c r="AM7" s="1518"/>
    </row>
    <row r="8" spans="1:40" ht="13.35" customHeight="1">
      <c r="B8" s="175"/>
      <c r="T8" s="1518"/>
      <c r="U8" s="1518"/>
      <c r="V8" s="1518"/>
      <c r="W8" s="1518"/>
      <c r="X8" s="1518"/>
      <c r="Y8" s="1518"/>
      <c r="Z8" s="1518"/>
      <c r="AA8" s="1518"/>
      <c r="AB8" s="1518"/>
      <c r="AC8" s="1518"/>
      <c r="AD8" s="1518"/>
      <c r="AE8" s="1518"/>
      <c r="AF8" s="1518"/>
      <c r="AG8" s="1518"/>
      <c r="AH8" s="1518"/>
      <c r="AI8" s="1518"/>
      <c r="AJ8" s="1518"/>
      <c r="AK8" s="1518"/>
      <c r="AL8" s="1518"/>
      <c r="AM8" s="1518"/>
    </row>
    <row r="9" spans="1:40" ht="13.35" customHeight="1">
      <c r="B9" s="175"/>
      <c r="T9" s="1518"/>
      <c r="U9" s="1518"/>
      <c r="V9" s="1518"/>
      <c r="W9" s="1518"/>
      <c r="X9" s="1518"/>
      <c r="Y9" s="1518"/>
      <c r="Z9" s="1518"/>
      <c r="AA9" s="1518"/>
      <c r="AB9" s="1518"/>
      <c r="AC9" s="1518"/>
      <c r="AD9" s="1518"/>
      <c r="AE9" s="1518"/>
      <c r="AF9" s="1518"/>
      <c r="AG9" s="1518"/>
      <c r="AH9" s="1518"/>
      <c r="AI9" s="1518"/>
      <c r="AJ9" s="1518"/>
      <c r="AK9" s="1518"/>
      <c r="AL9" s="1518"/>
      <c r="AM9" s="1518"/>
    </row>
    <row r="10" spans="1:40" ht="40.5" customHeight="1">
      <c r="B10" s="46"/>
      <c r="C10" s="47"/>
      <c r="D10" s="47"/>
      <c r="E10" s="47"/>
      <c r="F10" s="47"/>
      <c r="G10" s="47"/>
      <c r="H10" s="47"/>
      <c r="I10" s="47"/>
      <c r="J10" s="47"/>
      <c r="K10" s="47"/>
      <c r="L10" s="47"/>
      <c r="M10" s="47"/>
      <c r="N10" s="47"/>
      <c r="O10" s="47"/>
      <c r="P10" s="47"/>
      <c r="Q10" s="47"/>
      <c r="R10" s="47"/>
      <c r="S10" s="47"/>
      <c r="T10" s="1518"/>
      <c r="U10" s="1518"/>
      <c r="V10" s="1518"/>
      <c r="W10" s="1518"/>
      <c r="X10" s="1518"/>
      <c r="Y10" s="1518"/>
      <c r="Z10" s="1518"/>
      <c r="AA10" s="1518"/>
      <c r="AB10" s="1518"/>
      <c r="AC10" s="1518"/>
      <c r="AD10" s="1518"/>
      <c r="AE10" s="1518"/>
      <c r="AF10" s="1518"/>
      <c r="AG10" s="1518"/>
      <c r="AH10" s="1518"/>
      <c r="AI10" s="1518"/>
      <c r="AJ10" s="1518"/>
      <c r="AK10" s="1518"/>
      <c r="AL10" s="1518"/>
      <c r="AM10" s="1518"/>
    </row>
    <row r="11" spans="1:40" ht="13.35" customHeight="1">
      <c r="B11" s="1049" t="s">
        <v>1799</v>
      </c>
      <c r="C11" s="1050"/>
      <c r="D11" s="1050"/>
      <c r="E11" s="1050"/>
      <c r="F11" s="1050"/>
      <c r="G11" s="1050"/>
      <c r="H11" s="1050"/>
      <c r="I11" s="1050"/>
      <c r="J11" s="1050"/>
      <c r="K11" s="1050"/>
      <c r="L11" s="1050"/>
      <c r="M11" s="1050"/>
      <c r="N11" s="1050"/>
      <c r="O11" s="1050"/>
      <c r="P11" s="1050"/>
      <c r="Q11" s="1050"/>
      <c r="R11" s="1050"/>
      <c r="S11" s="1052"/>
      <c r="T11" s="1544">
        <f>IF('Sources and Basis Breakdown'!F105=0,'Sources and Basis Breakdown'!E105,'Sources and Basis Breakdown'!F105)</f>
        <v>19835850</v>
      </c>
      <c r="U11" s="1535"/>
      <c r="V11" s="1535"/>
      <c r="W11" s="1535"/>
      <c r="X11" s="1535"/>
      <c r="Y11" s="1534">
        <f>IF('Sources and Basis Breakdown'!G105+'Sources and Basis Breakdown'!F105='Sources and Basis Breakdown'!E105,'Sources and Basis Breakdown'!G105,0)</f>
        <v>0</v>
      </c>
      <c r="Z11" s="1535"/>
      <c r="AA11" s="1535"/>
      <c r="AB11" s="1535"/>
      <c r="AC11" s="1535"/>
      <c r="AD11" s="1535">
        <f>IF('Sources and Basis Breakdown'!I105=0,'Sources and Basis Breakdown'!H105,'Sources and Basis Breakdown'!I105)</f>
        <v>0</v>
      </c>
      <c r="AE11" s="1535"/>
      <c r="AF11" s="1535"/>
      <c r="AG11" s="1535"/>
      <c r="AH11" s="1535"/>
      <c r="AI11" s="1535">
        <f>IF('Sources and Basis Breakdown'!I105+'Sources and Basis Breakdown'!J105='Sources and Basis Breakdown'!H105,'Sources and Basis Breakdown'!J105,0)</f>
        <v>0</v>
      </c>
      <c r="AJ11" s="1535"/>
      <c r="AK11" s="1535"/>
      <c r="AL11" s="1535"/>
      <c r="AM11" s="1535"/>
    </row>
    <row r="12" spans="1:40" ht="13.35" customHeight="1">
      <c r="B12" s="1540" t="s">
        <v>1800</v>
      </c>
      <c r="C12" s="964"/>
      <c r="D12" s="964"/>
      <c r="E12" s="964"/>
      <c r="F12" s="964"/>
      <c r="G12" s="964"/>
      <c r="H12" s="964"/>
      <c r="I12" s="964"/>
      <c r="J12" s="964"/>
      <c r="K12" s="964"/>
      <c r="L12" s="964"/>
      <c r="M12" s="964"/>
      <c r="N12" s="964"/>
      <c r="O12" s="964"/>
      <c r="P12" s="964"/>
      <c r="Q12" s="964"/>
      <c r="R12" s="964"/>
      <c r="S12" s="1541"/>
      <c r="T12" s="1537"/>
      <c r="U12" s="1538"/>
      <c r="V12" s="1538"/>
      <c r="W12" s="1538"/>
      <c r="X12" s="1539"/>
      <c r="Y12" s="1537"/>
      <c r="Z12" s="1538"/>
      <c r="AA12" s="1538"/>
      <c r="AB12" s="1538"/>
      <c r="AC12" s="1539"/>
      <c r="AD12" s="1537"/>
      <c r="AE12" s="1538"/>
      <c r="AF12" s="1538"/>
      <c r="AG12" s="1538"/>
      <c r="AH12" s="1539"/>
      <c r="AI12" s="1537"/>
      <c r="AJ12" s="1538"/>
      <c r="AK12" s="1538"/>
      <c r="AL12" s="1538"/>
      <c r="AM12" s="1539"/>
    </row>
    <row r="13" spans="1:40" ht="13.35" customHeight="1">
      <c r="B13" s="8"/>
      <c r="C13" s="1542" t="s">
        <v>1801</v>
      </c>
      <c r="D13" s="1542"/>
      <c r="E13" s="1542"/>
      <c r="F13" s="1542"/>
      <c r="G13" s="1542"/>
      <c r="H13" s="1542"/>
      <c r="I13" s="1542"/>
      <c r="J13" s="1542"/>
      <c r="K13" s="1542"/>
      <c r="L13" s="1542"/>
      <c r="M13" s="1542"/>
      <c r="N13" s="1542"/>
      <c r="O13" s="1542"/>
      <c r="P13" s="1542"/>
      <c r="Q13" s="1542"/>
      <c r="R13" s="1542"/>
      <c r="S13" s="1543"/>
      <c r="T13" s="1536">
        <f>'Basis &amp; Credits'!T13</f>
        <v>0</v>
      </c>
      <c r="U13" s="1533"/>
      <c r="V13" s="1533"/>
      <c r="W13" s="1533"/>
      <c r="X13" s="1533"/>
      <c r="Y13" s="1536">
        <f>'Basis &amp; Credits'!Y13</f>
        <v>0</v>
      </c>
      <c r="Z13" s="1533"/>
      <c r="AA13" s="1533"/>
      <c r="AB13" s="1533"/>
      <c r="AC13" s="1533"/>
      <c r="AD13" s="1533">
        <f>'Basis &amp; Credits'!AD13</f>
        <v>0</v>
      </c>
      <c r="AE13" s="1533"/>
      <c r="AF13" s="1533"/>
      <c r="AG13" s="1533"/>
      <c r="AH13" s="1533"/>
      <c r="AI13" s="1533">
        <f>'Basis &amp; Credits'!AI13</f>
        <v>0</v>
      </c>
      <c r="AJ13" s="1533"/>
      <c r="AK13" s="1533"/>
      <c r="AL13" s="1533"/>
      <c r="AM13" s="1533"/>
    </row>
    <row r="14" spans="1:40" ht="13.35" customHeight="1">
      <c r="B14" s="8"/>
      <c r="C14" s="1542" t="s">
        <v>1802</v>
      </c>
      <c r="D14" s="1542"/>
      <c r="E14" s="1542"/>
      <c r="F14" s="1542"/>
      <c r="G14" s="1542"/>
      <c r="H14" s="1542"/>
      <c r="I14" s="1542"/>
      <c r="J14" s="1542"/>
      <c r="K14" s="1542"/>
      <c r="L14" s="1542"/>
      <c r="M14" s="1542"/>
      <c r="N14" s="1542"/>
      <c r="O14" s="1542"/>
      <c r="P14" s="1542"/>
      <c r="Q14" s="1542"/>
      <c r="R14" s="1542"/>
      <c r="S14" s="1543"/>
      <c r="T14" s="1020">
        <f>'Basis &amp; Credits'!T14</f>
        <v>0</v>
      </c>
      <c r="U14" s="1191"/>
      <c r="V14" s="1191"/>
      <c r="W14" s="1191"/>
      <c r="X14" s="1191"/>
      <c r="Y14" s="1020">
        <f>'Basis &amp; Credits'!Y14</f>
        <v>0</v>
      </c>
      <c r="Z14" s="1191"/>
      <c r="AA14" s="1191"/>
      <c r="AB14" s="1191"/>
      <c r="AC14" s="1191"/>
      <c r="AD14" s="1191">
        <f>'Basis &amp; Credits'!AD14</f>
        <v>0</v>
      </c>
      <c r="AE14" s="1191"/>
      <c r="AF14" s="1191"/>
      <c r="AG14" s="1191"/>
      <c r="AH14" s="1191"/>
      <c r="AI14" s="1191">
        <f>'Basis &amp; Credits'!AI14</f>
        <v>0</v>
      </c>
      <c r="AJ14" s="1191"/>
      <c r="AK14" s="1191"/>
      <c r="AL14" s="1191"/>
      <c r="AM14" s="1191"/>
    </row>
    <row r="15" spans="1:40" ht="13.35" customHeight="1">
      <c r="B15" s="8"/>
      <c r="C15" s="1542" t="s">
        <v>1803</v>
      </c>
      <c r="D15" s="1542"/>
      <c r="E15" s="1542"/>
      <c r="F15" s="1542"/>
      <c r="G15" s="1542"/>
      <c r="H15" s="1542"/>
      <c r="I15" s="1542"/>
      <c r="J15" s="1542"/>
      <c r="K15" s="1542"/>
      <c r="L15" s="1542"/>
      <c r="M15" s="1542"/>
      <c r="N15" s="1542"/>
      <c r="O15" s="1542"/>
      <c r="P15" s="1542"/>
      <c r="Q15" s="1542"/>
      <c r="R15" s="1542"/>
      <c r="S15" s="1543"/>
      <c r="T15" s="1020">
        <f>'Basis &amp; Credits'!T15</f>
        <v>0</v>
      </c>
      <c r="U15" s="1191"/>
      <c r="V15" s="1191"/>
      <c r="W15" s="1191"/>
      <c r="X15" s="1191"/>
      <c r="Y15" s="1020">
        <f>'Basis &amp; Credits'!Y15</f>
        <v>0</v>
      </c>
      <c r="Z15" s="1191"/>
      <c r="AA15" s="1191"/>
      <c r="AB15" s="1191"/>
      <c r="AC15" s="1191"/>
      <c r="AD15" s="1191">
        <f>'Basis &amp; Credits'!AD15</f>
        <v>0</v>
      </c>
      <c r="AE15" s="1191"/>
      <c r="AF15" s="1191"/>
      <c r="AG15" s="1191"/>
      <c r="AH15" s="1191"/>
      <c r="AI15" s="1191">
        <f>'Basis &amp; Credits'!AI15</f>
        <v>0</v>
      </c>
      <c r="AJ15" s="1191"/>
      <c r="AK15" s="1191"/>
      <c r="AL15" s="1191"/>
      <c r="AM15" s="1191"/>
    </row>
    <row r="16" spans="1:40" ht="13.35" customHeight="1">
      <c r="B16" s="8"/>
      <c r="C16" s="1542" t="s">
        <v>1804</v>
      </c>
      <c r="D16" s="1542"/>
      <c r="E16" s="1542"/>
      <c r="F16" s="1542"/>
      <c r="G16" s="1542"/>
      <c r="H16" s="1542"/>
      <c r="I16" s="1542"/>
      <c r="J16" s="1542"/>
      <c r="K16" s="1542"/>
      <c r="L16" s="1542"/>
      <c r="M16" s="1542"/>
      <c r="N16" s="1542"/>
      <c r="O16" s="1542"/>
      <c r="P16" s="1542"/>
      <c r="Q16" s="1542"/>
      <c r="R16" s="1542"/>
      <c r="S16" s="1543"/>
      <c r="T16" s="1020">
        <f>'Basis &amp; Credits'!T16</f>
        <v>0</v>
      </c>
      <c r="U16" s="1191"/>
      <c r="V16" s="1191"/>
      <c r="W16" s="1191"/>
      <c r="X16" s="1191"/>
      <c r="Y16" s="1020">
        <f>'Basis &amp; Credits'!Y16</f>
        <v>0</v>
      </c>
      <c r="Z16" s="1191"/>
      <c r="AA16" s="1191"/>
      <c r="AB16" s="1191"/>
      <c r="AC16" s="1191"/>
      <c r="AD16" s="1191">
        <f>'Basis &amp; Credits'!AD16</f>
        <v>0</v>
      </c>
      <c r="AE16" s="1191"/>
      <c r="AF16" s="1191"/>
      <c r="AG16" s="1191"/>
      <c r="AH16" s="1191"/>
      <c r="AI16" s="1191">
        <f>'Basis &amp; Credits'!AI16</f>
        <v>0</v>
      </c>
      <c r="AJ16" s="1191"/>
      <c r="AK16" s="1191"/>
      <c r="AL16" s="1191"/>
      <c r="AM16" s="1191"/>
    </row>
    <row r="17" spans="1:39" ht="13.35" customHeight="1">
      <c r="B17" s="8"/>
      <c r="C17" s="1542" t="s">
        <v>1805</v>
      </c>
      <c r="D17" s="1542"/>
      <c r="E17" s="1542"/>
      <c r="F17" s="1542"/>
      <c r="G17" s="1542"/>
      <c r="H17" s="1542"/>
      <c r="I17" s="1542"/>
      <c r="J17" s="1542"/>
      <c r="K17" s="1542"/>
      <c r="L17" s="1542"/>
      <c r="M17" s="1542"/>
      <c r="N17" s="1542"/>
      <c r="O17" s="1542"/>
      <c r="P17" s="1542"/>
      <c r="Q17" s="1542"/>
      <c r="R17" s="1542"/>
      <c r="S17" s="1543"/>
      <c r="T17" s="1020">
        <f>'Basis &amp; Credits'!T17</f>
        <v>0</v>
      </c>
      <c r="U17" s="1191"/>
      <c r="V17" s="1191"/>
      <c r="W17" s="1191"/>
      <c r="X17" s="1191"/>
      <c r="Y17" s="1020">
        <f>'Basis &amp; Credits'!Y17</f>
        <v>0</v>
      </c>
      <c r="Z17" s="1191"/>
      <c r="AA17" s="1191"/>
      <c r="AB17" s="1191"/>
      <c r="AC17" s="1191"/>
      <c r="AD17" s="1191">
        <f>'Basis &amp; Credits'!AD17</f>
        <v>0</v>
      </c>
      <c r="AE17" s="1191"/>
      <c r="AF17" s="1191"/>
      <c r="AG17" s="1191"/>
      <c r="AH17" s="1191"/>
      <c r="AI17" s="1191">
        <f>'Basis &amp; Credits'!AI17</f>
        <v>0</v>
      </c>
      <c r="AJ17" s="1191"/>
      <c r="AK17" s="1191"/>
      <c r="AL17" s="1191"/>
      <c r="AM17" s="1191"/>
    </row>
    <row r="18" spans="1:39" ht="13.35" customHeight="1">
      <c r="B18" s="514"/>
      <c r="C18" s="1542" t="s">
        <v>2495</v>
      </c>
      <c r="D18" s="1542"/>
      <c r="E18" s="1542"/>
      <c r="F18" s="1542"/>
      <c r="G18" s="1542"/>
      <c r="H18" s="1542"/>
      <c r="I18" s="1542"/>
      <c r="J18" s="1542"/>
      <c r="K18" s="1542"/>
      <c r="L18" s="1542"/>
      <c r="M18" s="1542"/>
      <c r="N18" s="1542"/>
      <c r="O18" s="1542"/>
      <c r="P18" s="1542"/>
      <c r="Q18" s="1542"/>
      <c r="R18" s="1542"/>
      <c r="S18" s="1543"/>
      <c r="T18" s="1018">
        <f>'Basis &amp; Credits'!T18</f>
        <v>0</v>
      </c>
      <c r="U18" s="1019"/>
      <c r="V18" s="1019"/>
      <c r="W18" s="1019"/>
      <c r="X18" s="1020"/>
      <c r="Y18" s="1020">
        <f>'Basis &amp; Credits'!Y18</f>
        <v>0</v>
      </c>
      <c r="Z18" s="1191"/>
      <c r="AA18" s="1191"/>
      <c r="AB18" s="1191"/>
      <c r="AC18" s="1191"/>
      <c r="AD18" s="1191">
        <f>'Basis &amp; Credits'!AD18</f>
        <v>0</v>
      </c>
      <c r="AE18" s="1191"/>
      <c r="AF18" s="1191"/>
      <c r="AG18" s="1191"/>
      <c r="AH18" s="1191"/>
      <c r="AI18" s="1191">
        <f>'Basis &amp; Credits'!AI18</f>
        <v>0</v>
      </c>
      <c r="AJ18" s="1191"/>
      <c r="AK18" s="1191"/>
      <c r="AL18" s="1191"/>
      <c r="AM18" s="1191"/>
    </row>
    <row r="19" spans="1:39" ht="13.35" customHeight="1">
      <c r="B19" s="409"/>
      <c r="C19" s="1264" t="str">
        <f>'Basis &amp; Credits'!C19:S19</f>
        <v>Subtract (specify other ineligible amounts):</v>
      </c>
      <c r="D19" s="1264"/>
      <c r="E19" s="1264"/>
      <c r="F19" s="1264"/>
      <c r="G19" s="1264"/>
      <c r="H19" s="1264"/>
      <c r="I19" s="1264"/>
      <c r="J19" s="1264"/>
      <c r="K19" s="1264"/>
      <c r="L19" s="1264"/>
      <c r="M19" s="1264"/>
      <c r="N19" s="1264"/>
      <c r="O19" s="1264"/>
      <c r="P19" s="1264"/>
      <c r="Q19" s="1264"/>
      <c r="R19" s="1264"/>
      <c r="S19" s="1265"/>
      <c r="T19" s="1020">
        <f>'Basis &amp; Credits'!T19</f>
        <v>0</v>
      </c>
      <c r="U19" s="1191"/>
      <c r="V19" s="1191"/>
      <c r="W19" s="1191"/>
      <c r="X19" s="1191"/>
      <c r="Y19" s="1020">
        <f>'Basis &amp; Credits'!Y19</f>
        <v>0</v>
      </c>
      <c r="Z19" s="1191"/>
      <c r="AA19" s="1191"/>
      <c r="AB19" s="1191"/>
      <c r="AC19" s="1191"/>
      <c r="AD19" s="1191">
        <f>'Basis &amp; Credits'!AD19</f>
        <v>0</v>
      </c>
      <c r="AE19" s="1191"/>
      <c r="AF19" s="1191"/>
      <c r="AG19" s="1191"/>
      <c r="AH19" s="1191"/>
      <c r="AI19" s="1191">
        <f>'Basis &amp; Credits'!AI19</f>
        <v>0</v>
      </c>
      <c r="AJ19" s="1191"/>
      <c r="AK19" s="1191"/>
      <c r="AL19" s="1191"/>
      <c r="AM19" s="1191"/>
    </row>
    <row r="20" spans="1:39" ht="13.35" customHeight="1">
      <c r="B20" s="1049" t="s">
        <v>1807</v>
      </c>
      <c r="C20" s="1050"/>
      <c r="D20" s="1050"/>
      <c r="E20" s="1050"/>
      <c r="F20" s="1050"/>
      <c r="G20" s="1050"/>
      <c r="H20" s="1050"/>
      <c r="I20" s="1050"/>
      <c r="J20" s="1050"/>
      <c r="K20" s="1050"/>
      <c r="L20" s="1050"/>
      <c r="M20" s="1050"/>
      <c r="N20" s="1050"/>
      <c r="O20" s="1050"/>
      <c r="P20" s="1050"/>
      <c r="Q20" s="1050"/>
      <c r="R20" s="1050"/>
      <c r="S20" s="1052"/>
      <c r="T20" s="1515">
        <f>SUM(T13:X19)</f>
        <v>0</v>
      </c>
      <c r="U20" s="1251"/>
      <c r="V20" s="1251"/>
      <c r="W20" s="1251"/>
      <c r="X20" s="1251"/>
      <c r="Y20" s="1515">
        <f>SUM(Y13:AC19)</f>
        <v>0</v>
      </c>
      <c r="Z20" s="1251"/>
      <c r="AA20" s="1251"/>
      <c r="AB20" s="1251"/>
      <c r="AC20" s="1251"/>
      <c r="AD20" s="1251">
        <f>SUM(AD13:AH19)</f>
        <v>0</v>
      </c>
      <c r="AE20" s="1251"/>
      <c r="AF20" s="1251"/>
      <c r="AG20" s="1251"/>
      <c r="AH20" s="1251"/>
      <c r="AI20" s="1251">
        <f>SUM(AI13:AM19)</f>
        <v>0</v>
      </c>
      <c r="AJ20" s="1251"/>
      <c r="AK20" s="1251"/>
      <c r="AL20" s="1251"/>
      <c r="AM20" s="1251"/>
    </row>
    <row r="21" spans="1:39" ht="13.35" customHeight="1">
      <c r="B21" s="1049" t="s">
        <v>1808</v>
      </c>
      <c r="C21" s="1050"/>
      <c r="D21" s="1050"/>
      <c r="E21" s="1050"/>
      <c r="F21" s="1050"/>
      <c r="G21" s="1050"/>
      <c r="H21" s="1050"/>
      <c r="I21" s="1050"/>
      <c r="J21" s="1050"/>
      <c r="K21" s="1050"/>
      <c r="L21" s="1050"/>
      <c r="M21" s="1050"/>
      <c r="N21" s="1050"/>
      <c r="O21" s="1050"/>
      <c r="P21" s="1050"/>
      <c r="Q21" s="1050"/>
      <c r="R21" s="1050"/>
      <c r="S21" s="1052"/>
      <c r="T21" s="1020">
        <f>'Basis &amp; Credits'!T21</f>
        <v>4863879</v>
      </c>
      <c r="U21" s="1191"/>
      <c r="V21" s="1191"/>
      <c r="W21" s="1191"/>
      <c r="X21" s="1191"/>
      <c r="Y21" s="1020">
        <f>'Basis &amp; Credits'!Y21</f>
        <v>0</v>
      </c>
      <c r="Z21" s="1191"/>
      <c r="AA21" s="1191"/>
      <c r="AB21" s="1191"/>
      <c r="AC21" s="1191"/>
      <c r="AD21" s="1191">
        <f>'Basis &amp; Credits'!AD21</f>
        <v>0</v>
      </c>
      <c r="AE21" s="1191"/>
      <c r="AF21" s="1191"/>
      <c r="AG21" s="1191"/>
      <c r="AH21" s="1191"/>
      <c r="AI21" s="1191">
        <f>'Basis &amp; Credits'!AI21</f>
        <v>0</v>
      </c>
      <c r="AJ21" s="1191"/>
      <c r="AK21" s="1191"/>
      <c r="AL21" s="1191"/>
      <c r="AM21" s="1191"/>
    </row>
    <row r="22" spans="1:39" ht="13.35" customHeight="1">
      <c r="B22" s="1049" t="s">
        <v>1809</v>
      </c>
      <c r="C22" s="1050"/>
      <c r="D22" s="1050"/>
      <c r="E22" s="1050"/>
      <c r="F22" s="1050"/>
      <c r="G22" s="1050"/>
      <c r="H22" s="1050"/>
      <c r="I22" s="1050"/>
      <c r="J22" s="1050"/>
      <c r="K22" s="1050"/>
      <c r="L22" s="1050"/>
      <c r="M22" s="1050"/>
      <c r="N22" s="1050"/>
      <c r="O22" s="1050"/>
      <c r="P22" s="1050"/>
      <c r="Q22" s="1050"/>
      <c r="R22" s="1050"/>
      <c r="S22" s="1052"/>
      <c r="T22" s="1545">
        <f>(T20+T21)*-1</f>
        <v>-4863879</v>
      </c>
      <c r="U22" s="1546"/>
      <c r="V22" s="1546"/>
      <c r="W22" s="1546"/>
      <c r="X22" s="1546"/>
      <c r="Y22" s="1545">
        <f>(Y20+Y21)*-1</f>
        <v>0</v>
      </c>
      <c r="Z22" s="1546"/>
      <c r="AA22" s="1546"/>
      <c r="AB22" s="1546"/>
      <c r="AC22" s="1546"/>
      <c r="AD22" s="1545">
        <f>(AD20+AD21)*-1</f>
        <v>0</v>
      </c>
      <c r="AE22" s="1546"/>
      <c r="AF22" s="1546"/>
      <c r="AG22" s="1546"/>
      <c r="AH22" s="1546"/>
      <c r="AI22" s="1545">
        <f>(AI20+AI21)*-1</f>
        <v>0</v>
      </c>
      <c r="AJ22" s="1546"/>
      <c r="AK22" s="1546"/>
      <c r="AL22" s="1546"/>
      <c r="AM22" s="1546"/>
    </row>
    <row r="23" spans="1:39" ht="13.35" customHeight="1">
      <c r="B23" s="1049" t="s">
        <v>2496</v>
      </c>
      <c r="C23" s="1050"/>
      <c r="D23" s="1050"/>
      <c r="E23" s="1050"/>
      <c r="F23" s="1050"/>
      <c r="G23" s="1050"/>
      <c r="H23" s="1050"/>
      <c r="I23" s="1050"/>
      <c r="J23" s="1050"/>
      <c r="K23" s="1050"/>
      <c r="L23" s="1050"/>
      <c r="M23" s="1050"/>
      <c r="N23" s="1050"/>
      <c r="O23" s="1050"/>
      <c r="P23" s="1050"/>
      <c r="Q23" s="1050"/>
      <c r="R23" s="1050"/>
      <c r="S23" s="1052"/>
      <c r="T23" s="1515">
        <f>T11+T22</f>
        <v>14971971</v>
      </c>
      <c r="U23" s="1251"/>
      <c r="V23" s="1251"/>
      <c r="W23" s="1251"/>
      <c r="X23" s="1251"/>
      <c r="Y23" s="1515">
        <f>Y11+Y22</f>
        <v>0</v>
      </c>
      <c r="Z23" s="1251"/>
      <c r="AA23" s="1251"/>
      <c r="AB23" s="1251"/>
      <c r="AC23" s="1251"/>
      <c r="AD23" s="1515">
        <f>AD11+AD22</f>
        <v>0</v>
      </c>
      <c r="AE23" s="1251"/>
      <c r="AF23" s="1251"/>
      <c r="AG23" s="1251"/>
      <c r="AH23" s="1251"/>
      <c r="AI23" s="1515">
        <f>AI11+AI22</f>
        <v>0</v>
      </c>
      <c r="AJ23" s="1251"/>
      <c r="AK23" s="1251"/>
      <c r="AL23" s="1251"/>
      <c r="AM23" s="1251"/>
    </row>
    <row r="24" spans="1:39" ht="13.35" customHeight="1">
      <c r="B24" s="1049" t="s">
        <v>1811</v>
      </c>
      <c r="C24" s="1050"/>
      <c r="D24" s="1050"/>
      <c r="E24" s="1050"/>
      <c r="F24" s="1050"/>
      <c r="G24" s="1050"/>
      <c r="H24" s="1050"/>
      <c r="I24" s="1050"/>
      <c r="J24" s="1050"/>
      <c r="K24" s="1050"/>
      <c r="L24" s="1050"/>
      <c r="M24" s="1050"/>
      <c r="N24" s="1050"/>
      <c r="O24" s="1050"/>
      <c r="P24" s="1050"/>
      <c r="Q24" s="1050"/>
      <c r="R24" s="1050"/>
      <c r="S24" s="1052"/>
      <c r="T24" s="1516">
        <f>Application!AD979</f>
        <v>0</v>
      </c>
      <c r="U24" s="1517"/>
      <c r="V24" s="1517"/>
      <c r="W24" s="1517"/>
      <c r="X24" s="1517"/>
      <c r="Y24" s="1517"/>
      <c r="Z24" s="1517"/>
      <c r="AA24" s="1517"/>
      <c r="AB24" s="1517"/>
      <c r="AC24" s="1517"/>
      <c r="AD24" s="1517"/>
      <c r="AE24" s="1517"/>
      <c r="AF24" s="1517"/>
      <c r="AG24" s="1517"/>
      <c r="AH24" s="1517"/>
      <c r="AI24" s="1517"/>
      <c r="AJ24" s="1517"/>
      <c r="AK24" s="1517"/>
      <c r="AL24" s="1517"/>
      <c r="AM24" s="1515"/>
    </row>
    <row r="25" spans="1:39" ht="13.35" customHeight="1">
      <c r="B25" s="1554" t="s">
        <v>2497</v>
      </c>
      <c r="C25" s="1555"/>
      <c r="D25" s="1555"/>
      <c r="E25" s="1555"/>
      <c r="F25" s="1555"/>
      <c r="G25" s="1555"/>
      <c r="H25" s="1555"/>
      <c r="I25" s="1555"/>
      <c r="J25" s="1555"/>
      <c r="K25" s="1555"/>
      <c r="L25" s="1555"/>
      <c r="M25" s="1555"/>
      <c r="N25" s="1555"/>
      <c r="O25" s="1555"/>
      <c r="P25" s="1555"/>
      <c r="Q25" s="1555"/>
      <c r="R25" s="1555"/>
      <c r="S25" s="1556"/>
      <c r="T25" s="1547">
        <v>1</v>
      </c>
      <c r="U25" s="1548"/>
      <c r="V25" s="1548"/>
      <c r="W25" s="1548"/>
      <c r="X25" s="1548"/>
      <c r="Y25" s="1547">
        <v>1</v>
      </c>
      <c r="Z25" s="1548"/>
      <c r="AA25" s="1548"/>
      <c r="AB25" s="1548"/>
      <c r="AC25" s="1551"/>
      <c r="AD25" s="1547">
        <v>1</v>
      </c>
      <c r="AE25" s="1548"/>
      <c r="AF25" s="1548"/>
      <c r="AG25" s="1548"/>
      <c r="AH25" s="1551"/>
      <c r="AI25" s="1547">
        <v>1</v>
      </c>
      <c r="AJ25" s="1548"/>
      <c r="AK25" s="1548"/>
      <c r="AL25" s="1548"/>
      <c r="AM25" s="1551"/>
    </row>
    <row r="26" spans="1:39" ht="13.35" customHeight="1">
      <c r="B26" s="1049" t="s">
        <v>1813</v>
      </c>
      <c r="C26" s="1050"/>
      <c r="D26" s="1050"/>
      <c r="E26" s="1050"/>
      <c r="F26" s="1050"/>
      <c r="G26" s="1050"/>
      <c r="H26" s="1050"/>
      <c r="I26" s="1050"/>
      <c r="J26" s="1050"/>
      <c r="K26" s="1050"/>
      <c r="L26" s="1050"/>
      <c r="M26" s="1050"/>
      <c r="N26" s="1050"/>
      <c r="O26" s="1050"/>
      <c r="P26" s="1050"/>
      <c r="Q26" s="1050"/>
      <c r="R26" s="1050"/>
      <c r="S26" s="1052"/>
      <c r="T26" s="1187">
        <f>T23*T25</f>
        <v>14971971</v>
      </c>
      <c r="U26" s="1370"/>
      <c r="V26" s="1370"/>
      <c r="W26" s="1370"/>
      <c r="X26" s="1370"/>
      <c r="Y26" s="1187">
        <f>Y23*Y25</f>
        <v>0</v>
      </c>
      <c r="Z26" s="1370"/>
      <c r="AA26" s="1370"/>
      <c r="AB26" s="1370"/>
      <c r="AC26" s="1370"/>
      <c r="AD26" s="1187">
        <f>AD23*AD25</f>
        <v>0</v>
      </c>
      <c r="AE26" s="1370"/>
      <c r="AF26" s="1370"/>
      <c r="AG26" s="1370"/>
      <c r="AH26" s="1370"/>
      <c r="AI26" s="1187">
        <f>AI23*AI25</f>
        <v>0</v>
      </c>
      <c r="AJ26" s="1370"/>
      <c r="AK26" s="1370"/>
      <c r="AL26" s="1370"/>
      <c r="AM26" s="1370"/>
    </row>
    <row r="27" spans="1:39" ht="13.35" customHeight="1">
      <c r="A27" s="4"/>
      <c r="B27" s="1554" t="s">
        <v>1814</v>
      </c>
      <c r="C27" s="1555"/>
      <c r="D27" s="1555"/>
      <c r="E27" s="1555"/>
      <c r="F27" s="1555"/>
      <c r="G27" s="1555"/>
      <c r="H27" s="1555"/>
      <c r="I27" s="1555"/>
      <c r="J27" s="1555"/>
      <c r="K27" s="1555"/>
      <c r="L27" s="1555"/>
      <c r="M27" s="1555"/>
      <c r="N27" s="1555"/>
      <c r="O27" s="1555"/>
      <c r="P27" s="1555"/>
      <c r="Q27" s="1555"/>
      <c r="R27" s="1555"/>
      <c r="S27" s="1556"/>
      <c r="T27" s="1549">
        <f>Application!AG438</f>
        <v>1</v>
      </c>
      <c r="U27" s="1550"/>
      <c r="V27" s="1550"/>
      <c r="W27" s="1550"/>
      <c r="X27" s="1550"/>
      <c r="Y27" s="1549">
        <f>Application!AG438</f>
        <v>1</v>
      </c>
      <c r="Z27" s="1550"/>
      <c r="AA27" s="1550"/>
      <c r="AB27" s="1550"/>
      <c r="AC27" s="1550"/>
      <c r="AD27" s="1549">
        <f>Application!AG438</f>
        <v>1</v>
      </c>
      <c r="AE27" s="1550"/>
      <c r="AF27" s="1550"/>
      <c r="AG27" s="1550"/>
      <c r="AH27" s="1550"/>
      <c r="AI27" s="1549">
        <f>Application!AG438</f>
        <v>1</v>
      </c>
      <c r="AJ27" s="1550"/>
      <c r="AK27" s="1550"/>
      <c r="AL27" s="1550"/>
      <c r="AM27" s="1550"/>
    </row>
    <row r="28" spans="1:39" ht="13.35" customHeight="1">
      <c r="A28" s="3"/>
      <c r="B28" s="1049" t="s">
        <v>1815</v>
      </c>
      <c r="C28" s="1050"/>
      <c r="D28" s="1050"/>
      <c r="E28" s="1050"/>
      <c r="F28" s="1050"/>
      <c r="G28" s="1050"/>
      <c r="H28" s="1050"/>
      <c r="I28" s="1050"/>
      <c r="J28" s="1050"/>
      <c r="K28" s="1050"/>
      <c r="L28" s="1050"/>
      <c r="M28" s="1050"/>
      <c r="N28" s="1050"/>
      <c r="O28" s="1050"/>
      <c r="P28" s="1050"/>
      <c r="Q28" s="1050"/>
      <c r="R28" s="1050"/>
      <c r="S28" s="1052"/>
      <c r="T28" s="1187">
        <f>IF(ISERROR((T26*T27)),0,(T26*T27))</f>
        <v>14971971</v>
      </c>
      <c r="U28" s="1370"/>
      <c r="V28" s="1370"/>
      <c r="W28" s="1370"/>
      <c r="X28" s="1370"/>
      <c r="Y28" s="1187">
        <f>IF(ISERROR((Y26*Y27)),0,(Y26*Y27))</f>
        <v>0</v>
      </c>
      <c r="Z28" s="1370"/>
      <c r="AA28" s="1370"/>
      <c r="AB28" s="1370"/>
      <c r="AC28" s="1370"/>
      <c r="AD28" s="1187">
        <f>IF(ISERROR((AD26*AD27)),0,(AD26*AD27))</f>
        <v>0</v>
      </c>
      <c r="AE28" s="1370"/>
      <c r="AF28" s="1370"/>
      <c r="AG28" s="1370"/>
      <c r="AH28" s="1370"/>
      <c r="AI28" s="1187">
        <f>IF(ISERROR((AI26*AI27)),0,(AI26*AI27))</f>
        <v>0</v>
      </c>
      <c r="AJ28" s="1370"/>
      <c r="AK28" s="1370"/>
      <c r="AL28" s="1370"/>
      <c r="AM28" s="1370"/>
    </row>
    <row r="29" spans="1:39" ht="13.35" customHeight="1">
      <c r="B29" s="1049" t="s">
        <v>1816</v>
      </c>
      <c r="C29" s="1050"/>
      <c r="D29" s="1050"/>
      <c r="E29" s="1050"/>
      <c r="F29" s="1050"/>
      <c r="G29" s="1050"/>
      <c r="H29" s="1050"/>
      <c r="I29" s="1050"/>
      <c r="J29" s="1050"/>
      <c r="K29" s="1050"/>
      <c r="L29" s="1050"/>
      <c r="M29" s="1050"/>
      <c r="N29" s="1050"/>
      <c r="O29" s="1050"/>
      <c r="P29" s="1050"/>
      <c r="Q29" s="1050"/>
      <c r="R29" s="1050"/>
      <c r="S29" s="1052"/>
      <c r="T29" s="1516">
        <f>T28+Y28+AD28+AI28</f>
        <v>14971971</v>
      </c>
      <c r="U29" s="1517"/>
      <c r="V29" s="1517"/>
      <c r="W29" s="1517"/>
      <c r="X29" s="1517"/>
      <c r="Y29" s="1517"/>
      <c r="Z29" s="1517"/>
      <c r="AA29" s="1517"/>
      <c r="AB29" s="1517"/>
      <c r="AC29" s="1517"/>
      <c r="AD29" s="1517"/>
      <c r="AE29" s="1517"/>
      <c r="AF29" s="1517"/>
      <c r="AG29" s="1517"/>
      <c r="AH29" s="1517"/>
      <c r="AI29" s="1517"/>
      <c r="AJ29" s="1517"/>
      <c r="AK29" s="1517"/>
      <c r="AL29" s="1517"/>
      <c r="AM29" s="1515"/>
    </row>
    <row r="30" spans="1:39" ht="13.35" customHeight="1">
      <c r="B30" s="1860"/>
      <c r="C30" s="1860"/>
      <c r="D30" s="1860"/>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1860"/>
      <c r="AM30" s="1860"/>
    </row>
    <row r="31" spans="1:39" ht="13.35" customHeight="1">
      <c r="C31" s="282"/>
      <c r="X31" s="55"/>
      <c r="Y31" s="159"/>
      <c r="Z31" s="159"/>
      <c r="AA31" s="159"/>
      <c r="AB31" s="159"/>
      <c r="AC31" s="159"/>
      <c r="AD31" s="159"/>
      <c r="AE31" s="159"/>
      <c r="AF31" s="159"/>
      <c r="AG31" s="159"/>
      <c r="AH31" s="159"/>
    </row>
    <row r="32" spans="1:39" ht="13.35" customHeight="1">
      <c r="C32" s="4"/>
      <c r="X32" s="55"/>
      <c r="Y32" s="159"/>
      <c r="Z32" s="159"/>
      <c r="AA32" s="159"/>
      <c r="AB32" s="159"/>
      <c r="AC32" s="159"/>
      <c r="AD32" s="159"/>
      <c r="AE32" s="159"/>
      <c r="AF32" s="159"/>
      <c r="AG32" s="159"/>
      <c r="AH32" s="159"/>
    </row>
    <row r="33" spans="1:40" ht="13.35" customHeight="1">
      <c r="A33" s="3" t="s">
        <v>889</v>
      </c>
      <c r="C33" s="3" t="s">
        <v>276</v>
      </c>
    </row>
    <row r="34" spans="1:40" ht="13.35" customHeight="1">
      <c r="A34" s="3"/>
      <c r="C34" s="3"/>
    </row>
    <row r="35" spans="1:40" ht="13.35" customHeight="1">
      <c r="B35" s="6"/>
      <c r="C35" s="7"/>
      <c r="D35" s="7"/>
      <c r="E35" s="7"/>
      <c r="F35" s="7"/>
      <c r="G35" s="7"/>
      <c r="H35" s="7"/>
      <c r="I35" s="7"/>
      <c r="J35" s="7"/>
      <c r="K35" s="7"/>
      <c r="L35" s="7"/>
      <c r="M35" s="7"/>
      <c r="N35" s="7"/>
      <c r="O35" s="7"/>
      <c r="P35" s="7"/>
      <c r="Q35" s="7"/>
      <c r="R35" s="7"/>
      <c r="S35" s="7"/>
      <c r="T35" s="7"/>
      <c r="U35" s="7"/>
      <c r="V35" s="7"/>
      <c r="W35" s="7"/>
      <c r="X35" s="57"/>
      <c r="Y35" s="1518" t="s">
        <v>1819</v>
      </c>
      <c r="Z35" s="1518"/>
      <c r="AA35" s="1518"/>
      <c r="AB35" s="1518"/>
      <c r="AC35" s="1518"/>
      <c r="AD35" s="1177" t="s">
        <v>1820</v>
      </c>
      <c r="AE35" s="1177"/>
      <c r="AF35" s="1177"/>
      <c r="AG35" s="1177"/>
      <c r="AH35" s="1177"/>
    </row>
    <row r="36" spans="1:40" ht="13.35" customHeight="1">
      <c r="B36" s="175"/>
      <c r="X36" s="63"/>
      <c r="Y36" s="1518"/>
      <c r="Z36" s="1518"/>
      <c r="AA36" s="1518"/>
      <c r="AB36" s="1518"/>
      <c r="AC36" s="1518"/>
      <c r="AD36" s="1177"/>
      <c r="AE36" s="1177"/>
      <c r="AF36" s="1177"/>
      <c r="AG36" s="1177"/>
      <c r="AH36" s="1177"/>
    </row>
    <row r="37" spans="1:40" ht="13.35" customHeight="1">
      <c r="B37" s="46"/>
      <c r="C37" s="47"/>
      <c r="D37" s="47"/>
      <c r="E37" s="47"/>
      <c r="F37" s="47"/>
      <c r="G37" s="47"/>
      <c r="H37" s="47"/>
      <c r="I37" s="47"/>
      <c r="J37" s="47"/>
      <c r="K37" s="47"/>
      <c r="L37" s="47"/>
      <c r="M37" s="47"/>
      <c r="N37" s="47"/>
      <c r="O37" s="47"/>
      <c r="P37" s="47"/>
      <c r="Q37" s="47"/>
      <c r="R37" s="47"/>
      <c r="S37" s="47"/>
      <c r="T37" s="47"/>
      <c r="U37" s="47"/>
      <c r="V37" s="47"/>
      <c r="W37" s="47"/>
      <c r="X37" s="48"/>
      <c r="Y37" s="1518"/>
      <c r="Z37" s="1518"/>
      <c r="AA37" s="1518"/>
      <c r="AB37" s="1518"/>
      <c r="AC37" s="1518"/>
      <c r="AD37" s="1177"/>
      <c r="AE37" s="1177"/>
      <c r="AF37" s="1177"/>
      <c r="AG37" s="1177"/>
      <c r="AH37" s="1177"/>
    </row>
    <row r="38" spans="1:40" ht="13.35" customHeight="1">
      <c r="A38" s="3"/>
      <c r="B38" s="1049" t="s">
        <v>1815</v>
      </c>
      <c r="C38" s="1050"/>
      <c r="D38" s="1050"/>
      <c r="E38" s="1050"/>
      <c r="F38" s="1050"/>
      <c r="G38" s="1050"/>
      <c r="H38" s="1050"/>
      <c r="I38" s="1050"/>
      <c r="J38" s="1050"/>
      <c r="K38" s="1050"/>
      <c r="L38" s="1050"/>
      <c r="M38" s="1050"/>
      <c r="N38" s="1050"/>
      <c r="O38" s="1050"/>
      <c r="P38" s="1050"/>
      <c r="Q38" s="1050"/>
      <c r="R38" s="1050"/>
      <c r="S38" s="1050"/>
      <c r="T38" s="1050"/>
      <c r="U38" s="1050"/>
      <c r="V38" s="1050"/>
      <c r="W38" s="1050"/>
      <c r="X38" s="1052"/>
      <c r="Y38" s="1251">
        <f>IF(T24&gt;=(T23+Y23+AD23+AI23),T28+Y28,0)</f>
        <v>0</v>
      </c>
      <c r="Z38" s="1251"/>
      <c r="AA38" s="1251"/>
      <c r="AB38" s="1251"/>
      <c r="AC38" s="1251"/>
      <c r="AD38" s="1251">
        <f>IF(T24&gt;=(T23+Y23+AD23+AI23),AD28+AI28,0)</f>
        <v>0</v>
      </c>
      <c r="AE38" s="1251"/>
      <c r="AF38" s="1251"/>
      <c r="AG38" s="1251"/>
      <c r="AH38" s="1251"/>
    </row>
    <row r="39" spans="1:40" ht="13.35" customHeight="1">
      <c r="B39" s="1049" t="s">
        <v>2498</v>
      </c>
      <c r="C39" s="1050"/>
      <c r="D39" s="1050"/>
      <c r="E39" s="1050"/>
      <c r="F39" s="1050"/>
      <c r="G39" s="1050"/>
      <c r="H39" s="1050"/>
      <c r="I39" s="1050"/>
      <c r="J39" s="1050"/>
      <c r="K39" s="1050"/>
      <c r="L39" s="1050"/>
      <c r="M39" s="1050"/>
      <c r="N39" s="1050"/>
      <c r="O39" s="1050"/>
      <c r="P39" s="1050"/>
      <c r="Q39" s="1050"/>
      <c r="R39" s="1050"/>
      <c r="S39" s="1050"/>
      <c r="T39" s="1050"/>
      <c r="U39" s="1050"/>
      <c r="V39" s="1050"/>
      <c r="W39" s="1050"/>
      <c r="X39" s="1052"/>
      <c r="Y39" s="1861">
        <v>0.09</v>
      </c>
      <c r="Z39" s="1861"/>
      <c r="AA39" s="1861"/>
      <c r="AB39" s="1861"/>
      <c r="AC39" s="1861"/>
      <c r="AD39" s="1861">
        <f>'Basis &amp; Credits'!AD39:AH39</f>
        <v>0.04</v>
      </c>
      <c r="AE39" s="1861"/>
      <c r="AF39" s="1861"/>
      <c r="AG39" s="1861"/>
      <c r="AH39" s="1861"/>
    </row>
    <row r="40" spans="1:40" ht="13.35" customHeight="1">
      <c r="A40" s="3"/>
      <c r="B40" s="1049" t="s">
        <v>1822</v>
      </c>
      <c r="C40" s="1050"/>
      <c r="D40" s="1050"/>
      <c r="E40" s="1050"/>
      <c r="F40" s="1050"/>
      <c r="G40" s="1050"/>
      <c r="H40" s="1050"/>
      <c r="I40" s="1050"/>
      <c r="J40" s="1050"/>
      <c r="K40" s="1050"/>
      <c r="L40" s="1050"/>
      <c r="M40" s="1050"/>
      <c r="N40" s="1050"/>
      <c r="O40" s="1050"/>
      <c r="P40" s="1050"/>
      <c r="Q40" s="1050"/>
      <c r="R40" s="1050"/>
      <c r="S40" s="1050"/>
      <c r="T40" s="1050"/>
      <c r="U40" s="1050"/>
      <c r="V40" s="1050"/>
      <c r="W40" s="1050"/>
      <c r="X40" s="1052"/>
      <c r="Y40" s="1251">
        <f>ROUND(Y38*Y39,0)</f>
        <v>0</v>
      </c>
      <c r="Z40" s="1251"/>
      <c r="AA40" s="1251"/>
      <c r="AB40" s="1251"/>
      <c r="AC40" s="1251"/>
      <c r="AD40" s="1515">
        <f>ROUND(AD38*AD39,0)</f>
        <v>0</v>
      </c>
      <c r="AE40" s="1251"/>
      <c r="AF40" s="1251"/>
      <c r="AG40" s="1251"/>
      <c r="AH40" s="1251"/>
    </row>
    <row r="41" spans="1:40" ht="13.35" customHeight="1">
      <c r="B41" s="1049" t="s">
        <v>1823</v>
      </c>
      <c r="C41" s="1050"/>
      <c r="D41" s="1050"/>
      <c r="E41" s="1050"/>
      <c r="F41" s="1050"/>
      <c r="G41" s="1050"/>
      <c r="H41" s="1050"/>
      <c r="I41" s="1050"/>
      <c r="J41" s="1050"/>
      <c r="K41" s="1050"/>
      <c r="L41" s="1050"/>
      <c r="M41" s="1050"/>
      <c r="N41" s="1050"/>
      <c r="O41" s="1050"/>
      <c r="P41" s="1050"/>
      <c r="Q41" s="1050"/>
      <c r="R41" s="1050"/>
      <c r="S41" s="1050"/>
      <c r="T41" s="1050"/>
      <c r="U41" s="1050"/>
      <c r="V41" s="1050"/>
      <c r="W41" s="1050"/>
      <c r="X41" s="1052"/>
      <c r="Y41" s="1516">
        <f>IF((Y40+AD40)&gt;2500000,2500000,Y40+AD40)</f>
        <v>0</v>
      </c>
      <c r="Z41" s="1517"/>
      <c r="AA41" s="1517"/>
      <c r="AB41" s="1517"/>
      <c r="AC41" s="1517"/>
      <c r="AD41" s="1517"/>
      <c r="AE41" s="1517"/>
      <c r="AF41" s="1517"/>
      <c r="AG41" s="1517"/>
      <c r="AH41" s="1515"/>
    </row>
    <row r="42" spans="1:40" ht="13.35" customHeight="1">
      <c r="A42" s="3"/>
      <c r="B42" s="1526" t="s">
        <v>2499</v>
      </c>
      <c r="C42" s="1526"/>
      <c r="D42" s="1526"/>
      <c r="E42" s="1526"/>
      <c r="F42" s="1526"/>
      <c r="G42" s="1526"/>
      <c r="H42" s="1526"/>
      <c r="I42" s="1526"/>
      <c r="J42" s="1526"/>
      <c r="K42" s="1526"/>
      <c r="L42" s="1526"/>
      <c r="M42" s="1526"/>
      <c r="N42" s="1526"/>
      <c r="O42" s="1526"/>
      <c r="P42" s="1526"/>
      <c r="Q42" s="1526"/>
      <c r="R42" s="1526"/>
      <c r="S42" s="1526"/>
      <c r="T42" s="1526"/>
      <c r="U42" s="1526"/>
      <c r="V42" s="1526"/>
      <c r="W42" s="1526"/>
      <c r="X42" s="1526"/>
      <c r="Y42" s="1526"/>
      <c r="Z42" s="1526"/>
      <c r="AA42" s="1526"/>
      <c r="AB42" s="1526"/>
      <c r="AC42" s="1526"/>
      <c r="AD42" s="1526"/>
      <c r="AE42" s="1526"/>
      <c r="AF42" s="1526"/>
      <c r="AG42" s="1526"/>
      <c r="AH42" s="1526"/>
      <c r="AI42" s="25"/>
      <c r="AJ42" s="25"/>
      <c r="AK42" s="25"/>
      <c r="AL42" s="25"/>
      <c r="AM42" s="25"/>
      <c r="AN42" s="25"/>
    </row>
    <row r="43" spans="1:40" ht="13.3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3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35" customHeight="1">
      <c r="A45" s="3" t="s">
        <v>970</v>
      </c>
      <c r="C45" s="3" t="s">
        <v>279</v>
      </c>
    </row>
    <row r="46" spans="1:40" ht="13.35" customHeight="1">
      <c r="D46" s="3" t="s">
        <v>1825</v>
      </c>
      <c r="AB46" s="1106">
        <f>'Sources and Uses Budget'!B104-'Sources and Uses Budget'!$B$15</f>
        <v>22529000</v>
      </c>
      <c r="AC46" s="1107"/>
      <c r="AD46" s="1107"/>
      <c r="AE46" s="1107"/>
      <c r="AF46" s="1108"/>
    </row>
    <row r="47" spans="1:40" ht="13.35" customHeight="1">
      <c r="D47" s="3" t="s">
        <v>184</v>
      </c>
      <c r="AB47" s="1106">
        <f>Application!AG630-MIN('Sources and Uses Budget'!B15,Application!AG385)</f>
        <v>0</v>
      </c>
      <c r="AC47" s="1107"/>
      <c r="AD47" s="1107"/>
      <c r="AE47" s="1107"/>
      <c r="AF47" s="1108"/>
    </row>
    <row r="48" spans="1:40" ht="13.35" customHeight="1">
      <c r="D48" s="3" t="s">
        <v>1826</v>
      </c>
      <c r="AB48" s="1106">
        <f>AB46-AB47</f>
        <v>22529000</v>
      </c>
      <c r="AC48" s="1107"/>
      <c r="AD48" s="1107"/>
      <c r="AE48" s="1107"/>
      <c r="AF48" s="1108"/>
    </row>
    <row r="49" spans="1:40" ht="13.35" customHeight="1">
      <c r="D49" s="3" t="s">
        <v>1827</v>
      </c>
      <c r="AA49" s="31"/>
      <c r="AB49" s="1521"/>
      <c r="AC49" s="1522"/>
      <c r="AD49" s="1522"/>
      <c r="AE49" s="1522"/>
      <c r="AF49" s="1523"/>
    </row>
    <row r="50" spans="1:40" s="271" customFormat="1" ht="13.35" customHeight="1">
      <c r="A50"/>
      <c r="B50"/>
      <c r="C50"/>
      <c r="D50"/>
      <c r="E50" s="1530" t="s">
        <v>2500</v>
      </c>
      <c r="F50" s="1530"/>
      <c r="G50" s="1530"/>
      <c r="H50" s="1530"/>
      <c r="I50" s="1530"/>
      <c r="J50" s="1530"/>
      <c r="K50" s="1530"/>
      <c r="L50" s="1530"/>
      <c r="M50" s="1530"/>
      <c r="N50" s="1530"/>
      <c r="O50" s="1530"/>
      <c r="P50" s="1530"/>
      <c r="Q50" s="1530"/>
      <c r="R50" s="1530"/>
      <c r="S50" s="1530"/>
      <c r="T50" s="1530"/>
      <c r="U50" s="1530"/>
      <c r="V50" s="1530"/>
      <c r="W50" s="1530"/>
      <c r="X50" s="1530"/>
      <c r="Y50" s="1530"/>
      <c r="Z50" s="1530"/>
      <c r="AA50" s="721"/>
      <c r="AB50" s="721"/>
      <c r="AC50" s="721"/>
      <c r="AD50" s="721"/>
      <c r="AE50" s="721"/>
      <c r="AF50" s="721"/>
      <c r="AG50"/>
      <c r="AH50"/>
      <c r="AI50"/>
      <c r="AJ50"/>
      <c r="AK50"/>
      <c r="AL50"/>
      <c r="AM50"/>
      <c r="AN50"/>
    </row>
    <row r="51" spans="1:40" s="271" customFormat="1" ht="13.35" customHeight="1">
      <c r="A51"/>
      <c r="B51"/>
      <c r="C51"/>
      <c r="D51"/>
      <c r="E51" s="1530"/>
      <c r="F51" s="1530"/>
      <c r="G51" s="1530"/>
      <c r="H51" s="1530"/>
      <c r="I51" s="1530"/>
      <c r="J51" s="1530"/>
      <c r="K51" s="1530"/>
      <c r="L51" s="1530"/>
      <c r="M51" s="1530"/>
      <c r="N51" s="1530"/>
      <c r="O51" s="1530"/>
      <c r="P51" s="1530"/>
      <c r="Q51" s="1530"/>
      <c r="R51" s="1530"/>
      <c r="S51" s="1530"/>
      <c r="T51" s="1530"/>
      <c r="U51" s="1530"/>
      <c r="V51" s="1530"/>
      <c r="W51" s="1530"/>
      <c r="X51" s="1530"/>
      <c r="Y51" s="1530"/>
      <c r="Z51" s="1530"/>
      <c r="AA51" s="415"/>
      <c r="AB51" s="415"/>
      <c r="AC51" s="415"/>
      <c r="AD51" s="415"/>
      <c r="AE51" s="415"/>
      <c r="AF51" s="415"/>
      <c r="AG51" s="85"/>
      <c r="AH51"/>
      <c r="AI51"/>
      <c r="AJ51"/>
      <c r="AK51"/>
      <c r="AL51"/>
      <c r="AM51"/>
      <c r="AN51"/>
    </row>
    <row r="52" spans="1:40" ht="13.3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35" customHeight="1">
      <c r="D53" s="3" t="s">
        <v>1829</v>
      </c>
      <c r="AB53" s="1106">
        <f>ROUND(IF(ISERROR((AB48/AB49)),0,(AB48/AB49)),0)</f>
        <v>0</v>
      </c>
      <c r="AC53" s="1107"/>
      <c r="AD53" s="1107"/>
      <c r="AE53" s="1107"/>
      <c r="AF53" s="1108"/>
    </row>
    <row r="54" spans="1:40" ht="13.35" customHeight="1">
      <c r="D54" s="3" t="s">
        <v>1830</v>
      </c>
      <c r="AB54" s="1106">
        <f>(AB53/10)</f>
        <v>0</v>
      </c>
      <c r="AC54" s="1107"/>
      <c r="AD54" s="1107"/>
      <c r="AE54" s="1107"/>
      <c r="AF54" s="1108"/>
    </row>
    <row r="55" spans="1:40" ht="13.35" customHeight="1">
      <c r="D55" s="3" t="s">
        <v>1831</v>
      </c>
      <c r="AB55" s="1527">
        <f>(IF((Y41&lt;AB54),Y41,AB54))</f>
        <v>0</v>
      </c>
      <c r="AC55" s="1528"/>
      <c r="AD55" s="1528"/>
      <c r="AE55" s="1528"/>
      <c r="AF55" s="1529"/>
    </row>
    <row r="56" spans="1:40" ht="13.35" customHeight="1">
      <c r="D56" s="3" t="s">
        <v>1832</v>
      </c>
      <c r="AB56" s="1106">
        <f>ROUND((10*AB55*AB49),0)</f>
        <v>0</v>
      </c>
      <c r="AC56" s="1107"/>
      <c r="AD56" s="1107"/>
      <c r="AE56" s="1107"/>
      <c r="AF56" s="1108"/>
    </row>
    <row r="57" spans="1:40" ht="13.35" customHeight="1">
      <c r="D57" s="3"/>
      <c r="AB57" s="238"/>
      <c r="AC57" s="238"/>
      <c r="AD57" s="238"/>
      <c r="AE57" s="238"/>
      <c r="AF57" s="238"/>
    </row>
    <row r="58" spans="1:40" ht="13.35" customHeight="1">
      <c r="D58" s="3" t="s">
        <v>1833</v>
      </c>
      <c r="AB58" s="1112">
        <f>AB48-AB56</f>
        <v>22529000</v>
      </c>
      <c r="AC58" s="1112"/>
      <c r="AD58" s="1112"/>
      <c r="AE58" s="1112"/>
      <c r="AF58" s="1112"/>
    </row>
    <row r="59" spans="1:40" ht="13.3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35" customHeight="1" thickBot="1">
      <c r="A60" s="1511" t="s">
        <v>1834</v>
      </c>
      <c r="B60" s="1511"/>
      <c r="C60" s="1511"/>
      <c r="D60" s="1511"/>
      <c r="E60" s="1511"/>
      <c r="F60" s="1511"/>
      <c r="G60" s="1511"/>
      <c r="H60" s="1511"/>
      <c r="I60" s="1511"/>
      <c r="J60" s="1511"/>
      <c r="K60" s="1511"/>
      <c r="L60" s="1511"/>
      <c r="M60" s="1511"/>
      <c r="N60" s="1511"/>
      <c r="O60" s="1511"/>
      <c r="P60" s="1511"/>
      <c r="Q60" s="1511"/>
      <c r="R60" s="1511"/>
      <c r="S60" s="1511"/>
      <c r="T60" s="1511"/>
      <c r="U60" s="1511"/>
      <c r="V60" s="1511"/>
      <c r="W60" s="1511"/>
      <c r="X60" s="1511"/>
      <c r="Y60" s="1511"/>
      <c r="Z60" s="1511"/>
      <c r="AA60" s="1511"/>
      <c r="AB60" s="1511"/>
      <c r="AC60" s="1511"/>
      <c r="AD60" s="1511"/>
      <c r="AE60" s="1511"/>
      <c r="AF60" s="1511"/>
      <c r="AG60" s="1511"/>
      <c r="AH60" s="1511"/>
      <c r="AI60" s="1511"/>
      <c r="AJ60" s="1511"/>
      <c r="AK60" s="1511"/>
      <c r="AL60" s="1511"/>
      <c r="AM60" s="1511"/>
      <c r="AN60" s="1511"/>
    </row>
    <row r="61" spans="1:40" ht="13.35" customHeight="1" thickTop="1">
      <c r="A61" s="1130"/>
      <c r="B61" s="1130"/>
      <c r="C61" s="1130"/>
      <c r="D61" s="1130"/>
      <c r="E61" s="1130"/>
      <c r="F61" s="1130"/>
      <c r="G61" s="1130"/>
      <c r="H61" s="1130"/>
      <c r="I61" s="1130"/>
      <c r="J61" s="1130"/>
      <c r="K61" s="1130"/>
      <c r="L61" s="1130"/>
      <c r="M61" s="1130"/>
      <c r="N61" s="1130"/>
      <c r="O61" s="1130"/>
      <c r="P61" s="1130"/>
      <c r="Q61" s="1130"/>
      <c r="R61" s="1130"/>
      <c r="S61" s="1130"/>
      <c r="T61" s="1130"/>
      <c r="U61" s="1130"/>
      <c r="V61" s="1130"/>
      <c r="W61" s="1130"/>
      <c r="X61" s="1130"/>
      <c r="Y61" s="1130"/>
      <c r="Z61" s="1130"/>
      <c r="AA61" s="1130"/>
      <c r="AB61" s="1130"/>
      <c r="AC61" s="1130"/>
      <c r="AD61" s="1130"/>
      <c r="AE61" s="1130"/>
      <c r="AF61" s="1130"/>
      <c r="AG61" s="1130"/>
      <c r="AH61" s="1130"/>
      <c r="AI61" s="1130"/>
      <c r="AJ61" s="1130"/>
      <c r="AK61" s="1130"/>
      <c r="AL61" s="1130"/>
      <c r="AM61" s="1130"/>
      <c r="AN61" s="1130"/>
    </row>
    <row r="62" spans="1:40" ht="13.35" customHeight="1">
      <c r="A62" s="3" t="s">
        <v>991</v>
      </c>
      <c r="C62" s="3" t="s">
        <v>285</v>
      </c>
      <c r="Y62" s="1513" t="s">
        <v>1835</v>
      </c>
      <c r="Z62" s="1513"/>
      <c r="AA62" s="1513"/>
      <c r="AB62" s="1513"/>
      <c r="AC62" s="1513"/>
      <c r="AD62" s="1513" t="s">
        <v>1820</v>
      </c>
      <c r="AE62" s="1513"/>
      <c r="AF62" s="1513"/>
      <c r="AG62" s="1513"/>
      <c r="AH62" s="1513"/>
    </row>
    <row r="63" spans="1:40" ht="13.35" customHeight="1">
      <c r="C63" s="3"/>
      <c r="D63" s="107" t="s">
        <v>1836</v>
      </c>
      <c r="E63" s="15"/>
      <c r="F63" s="15"/>
      <c r="G63" s="15"/>
      <c r="H63" s="15"/>
      <c r="I63" s="15"/>
      <c r="J63" s="15"/>
      <c r="K63" s="15"/>
      <c r="L63" s="15"/>
      <c r="M63" s="15"/>
      <c r="N63" s="15"/>
      <c r="O63" s="15"/>
      <c r="P63" s="15"/>
      <c r="Q63" s="15"/>
      <c r="R63" s="15"/>
      <c r="S63" s="15"/>
      <c r="T63" s="15"/>
      <c r="U63" s="15"/>
      <c r="V63" s="15"/>
      <c r="W63" s="15"/>
      <c r="X63" s="15"/>
      <c r="Y63" s="1251">
        <f>Y28</f>
        <v>0</v>
      </c>
      <c r="Z63" s="1524"/>
      <c r="AA63" s="1524"/>
      <c r="AB63" s="1524"/>
      <c r="AC63" s="1524"/>
      <c r="AD63" s="1251">
        <f>AI28</f>
        <v>0</v>
      </c>
      <c r="AE63" s="1524"/>
      <c r="AF63" s="1524"/>
      <c r="AG63" s="1524"/>
      <c r="AH63" s="1524"/>
    </row>
    <row r="64" spans="1:40" ht="13.35" customHeight="1">
      <c r="C64" s="3"/>
      <c r="E64" s="1512" t="s">
        <v>1837</v>
      </c>
      <c r="F64" s="1512"/>
      <c r="G64" s="1512"/>
      <c r="H64" s="1512"/>
      <c r="I64" s="1512"/>
      <c r="J64" s="1512"/>
      <c r="K64" s="1512"/>
      <c r="L64" s="1512"/>
      <c r="M64" s="1512"/>
      <c r="N64" s="1512"/>
      <c r="O64" s="1512"/>
      <c r="P64" s="1512"/>
      <c r="Q64" s="1512"/>
      <c r="R64" s="1512"/>
      <c r="S64" s="1512"/>
      <c r="T64" s="1512"/>
      <c r="U64" s="1512"/>
      <c r="V64" s="1512"/>
      <c r="W64" s="1512"/>
      <c r="X64" s="1512"/>
      <c r="Y64" s="1512"/>
      <c r="Z64" s="1512"/>
      <c r="AA64" s="1512"/>
      <c r="AB64" s="1512"/>
      <c r="AC64" s="1512"/>
      <c r="AD64" s="1512"/>
      <c r="AE64" s="1512"/>
      <c r="AF64" s="1512"/>
      <c r="AG64" s="1512"/>
      <c r="AH64" s="1512"/>
    </row>
    <row r="65" spans="1:34" ht="30.75" customHeight="1">
      <c r="C65" s="3"/>
      <c r="E65" s="1512"/>
      <c r="F65" s="1512"/>
      <c r="G65" s="1512"/>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row>
    <row r="66" spans="1:34" ht="13.35" customHeight="1">
      <c r="C66" s="3"/>
      <c r="D66" s="3" t="s">
        <v>1838</v>
      </c>
      <c r="E66" s="83"/>
      <c r="F66" s="83"/>
      <c r="G66" s="83"/>
      <c r="H66" s="83"/>
      <c r="I66" s="83"/>
      <c r="J66" s="83"/>
      <c r="K66" s="83"/>
      <c r="L66" s="83"/>
      <c r="M66" s="83"/>
      <c r="N66" s="83"/>
      <c r="O66" s="83"/>
      <c r="P66" s="83"/>
      <c r="Q66" s="83"/>
      <c r="R66" s="83"/>
      <c r="S66" s="83"/>
      <c r="T66" s="83"/>
      <c r="U66" s="83"/>
      <c r="V66" s="83"/>
      <c r="W66" s="83"/>
      <c r="X66" s="83"/>
      <c r="Y66" s="1520">
        <v>0.3</v>
      </c>
      <c r="Z66" s="1520"/>
      <c r="AA66" s="1520"/>
      <c r="AB66" s="1520"/>
      <c r="AC66" s="1520"/>
      <c r="AD66" s="1520">
        <v>0.13</v>
      </c>
      <c r="AE66" s="1520"/>
      <c r="AF66" s="1520"/>
      <c r="AG66" s="1520"/>
      <c r="AH66" s="1520"/>
    </row>
    <row r="67" spans="1:34" ht="13.35" customHeight="1">
      <c r="C67" s="3"/>
      <c r="D67" s="3" t="s">
        <v>1839</v>
      </c>
      <c r="Y67" s="1251">
        <f>ROUND(Y63*Y66,0)</f>
        <v>0</v>
      </c>
      <c r="Z67" s="1524"/>
      <c r="AA67" s="1524"/>
      <c r="AB67" s="1524"/>
      <c r="AC67" s="1524"/>
      <c r="AD67" s="1251" t="str">
        <f>IF(OR(Application!D211="At-Risk",Application!D211="At-Risk/Located in Rural Census Tract",Application!D214="At-Risk"),ROUND(AD63*AD66,0),"$0")</f>
        <v>$0</v>
      </c>
      <c r="AE67" s="1251"/>
      <c r="AF67" s="1251"/>
      <c r="AG67" s="1251"/>
      <c r="AH67" s="1251"/>
    </row>
    <row r="68" spans="1:34" ht="13.35" customHeight="1">
      <c r="C68" s="3"/>
      <c r="E68" s="3"/>
      <c r="AB68" s="2"/>
      <c r="AC68" s="2"/>
      <c r="AD68" s="2"/>
      <c r="AE68" s="2"/>
      <c r="AF68" s="2"/>
    </row>
    <row r="69" spans="1:34" ht="13.35" customHeight="1">
      <c r="A69" s="3" t="s">
        <v>1006</v>
      </c>
      <c r="C69" s="3" t="s">
        <v>288</v>
      </c>
    </row>
    <row r="70" spans="1:34" ht="13.35" customHeight="1">
      <c r="A70" s="3"/>
      <c r="C70" s="3"/>
      <c r="D70" s="3" t="s">
        <v>1841</v>
      </c>
      <c r="AB70" s="1521"/>
      <c r="AC70" s="1522"/>
      <c r="AD70" s="1522"/>
      <c r="AE70" s="1522"/>
      <c r="AF70" s="1523"/>
    </row>
    <row r="71" spans="1:34" ht="13.35" customHeight="1">
      <c r="A71" s="3"/>
      <c r="C71" s="3"/>
      <c r="D71" s="3"/>
      <c r="E71" s="1525" t="s">
        <v>1842</v>
      </c>
      <c r="F71" s="1525"/>
      <c r="G71" s="1525"/>
      <c r="H71" s="1525"/>
      <c r="I71" s="1525"/>
      <c r="J71" s="1525"/>
      <c r="K71" s="1525"/>
      <c r="L71" s="1525"/>
      <c r="M71" s="1525"/>
      <c r="N71" s="1525"/>
      <c r="O71" s="1525"/>
      <c r="P71" s="1525"/>
      <c r="Q71" s="1525"/>
      <c r="R71" s="1525"/>
      <c r="S71" s="1525"/>
      <c r="T71" s="1525"/>
      <c r="U71" s="1525"/>
      <c r="V71" s="1525"/>
      <c r="W71" s="1525"/>
      <c r="X71" s="1525"/>
      <c r="Y71" s="1525"/>
      <c r="Z71" s="1525"/>
      <c r="AA71" s="219"/>
      <c r="AB71" s="219"/>
      <c r="AC71" s="219"/>
    </row>
    <row r="72" spans="1:34" ht="13.35" customHeight="1">
      <c r="A72" s="3"/>
      <c r="C72" s="3"/>
      <c r="D72" s="3"/>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219"/>
      <c r="AB72" s="219"/>
      <c r="AC72" s="219"/>
    </row>
    <row r="73" spans="1:34" ht="13.35" customHeight="1">
      <c r="A73" s="3"/>
      <c r="C73" s="3"/>
      <c r="D73" s="3"/>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219"/>
      <c r="AB73" s="219"/>
      <c r="AC73" s="219"/>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1843</v>
      </c>
      <c r="AB75" s="1169">
        <f>ROUND(IF(ISERROR((AB58/AB70)),0,(AB58/AB70)),0)</f>
        <v>0</v>
      </c>
      <c r="AC75" s="1169"/>
      <c r="AD75" s="1169"/>
      <c r="AE75" s="1169"/>
      <c r="AF75" s="1169"/>
    </row>
    <row r="76" spans="1:34" ht="13.35" customHeight="1">
      <c r="C76" s="3"/>
      <c r="D76" s="3" t="s">
        <v>1844</v>
      </c>
      <c r="AB76" s="1164">
        <f>IF((Y67+AD67&lt;AB75),Y67+AD67,AB75)</f>
        <v>0</v>
      </c>
      <c r="AC76" s="1165"/>
      <c r="AD76" s="1165"/>
      <c r="AE76" s="1165"/>
      <c r="AF76" s="1166"/>
    </row>
    <row r="77" spans="1:34" ht="13.35" customHeight="1">
      <c r="C77" s="3"/>
      <c r="D77" s="3" t="s">
        <v>1845</v>
      </c>
      <c r="AB77" s="1519">
        <f>AB76*AB70</f>
        <v>0</v>
      </c>
      <c r="AC77" s="1519"/>
      <c r="AD77" s="1519"/>
      <c r="AE77" s="1519"/>
      <c r="AF77" s="1519"/>
    </row>
    <row r="78" spans="1:34" ht="13.35" customHeight="1">
      <c r="C78" s="3"/>
      <c r="D78" s="3"/>
      <c r="AB78" s="518"/>
      <c r="AC78" s="518"/>
      <c r="AD78" s="518"/>
      <c r="AE78" s="518"/>
      <c r="AF78" s="518"/>
    </row>
    <row r="79" spans="1:34" ht="13.35" customHeight="1">
      <c r="D79" s="3" t="s">
        <v>1833</v>
      </c>
      <c r="AB79" s="1112">
        <f>AB48-(AB56+AB77)</f>
        <v>22529000</v>
      </c>
      <c r="AC79" s="1112"/>
      <c r="AD79" s="1112"/>
      <c r="AE79" s="1112"/>
      <c r="AF79" s="1112"/>
    </row>
    <row r="80" spans="1:34" ht="13.35" customHeight="1">
      <c r="F80" s="16"/>
      <c r="J80" s="16" t="str">
        <f>IF(AB79&gt;0,"FUNDING GAP MUST NOT EXCEED ZERO","")</f>
        <v>FUNDING GAP MUST NOT EXCEED ZERO</v>
      </c>
    </row>
    <row r="81" spans="4:4" ht="13.35" hidden="1" customHeight="1">
      <c r="D81" s="108"/>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60" workbookViewId="0">
      <selection activeCell="B33" sqref="B33"/>
    </sheetView>
  </sheetViews>
  <sheetFormatPr defaultColWidth="0" defaultRowHeight="12" customHeight="1" zeroHeight="1"/>
  <cols>
    <col min="1" max="1" width="35.44140625" style="277" customWidth="1"/>
    <col min="2" max="2" width="14.44140625" style="291" customWidth="1"/>
    <col min="3" max="4" width="14.44140625" style="278" customWidth="1"/>
    <col min="5" max="5" width="14.44140625" style="291" customWidth="1"/>
    <col min="6" max="6" width="50.44140625" style="278" customWidth="1"/>
    <col min="7" max="7" width="9.1640625" style="278" customWidth="1"/>
    <col min="8" max="8" width="0.44140625" style="278" hidden="1" customWidth="1"/>
    <col min="9" max="16383" width="11.44140625" style="278" hidden="1"/>
    <col min="16384" max="16384" width="0.44140625" style="278" customWidth="1"/>
  </cols>
  <sheetData>
    <row r="1" spans="1:7" ht="18" customHeight="1">
      <c r="A1" s="579" t="s">
        <v>2502</v>
      </c>
      <c r="G1" s="487"/>
    </row>
    <row r="2" spans="1:7" ht="12.6">
      <c r="A2" s="226" t="s">
        <v>2503</v>
      </c>
      <c r="B2" s="193"/>
      <c r="C2" s="272"/>
      <c r="D2" s="272"/>
      <c r="E2" s="193"/>
      <c r="F2" s="273"/>
      <c r="G2" s="273"/>
    </row>
    <row r="3" spans="1:7" s="488" customFormat="1" ht="80.25" customHeight="1">
      <c r="A3" s="279"/>
      <c r="B3" s="274" t="s">
        <v>2504</v>
      </c>
      <c r="C3" s="274" t="s">
        <v>2505</v>
      </c>
      <c r="D3" s="274" t="s">
        <v>2506</v>
      </c>
      <c r="E3" s="274" t="s">
        <v>2507</v>
      </c>
      <c r="F3" s="270" t="s">
        <v>2508</v>
      </c>
      <c r="G3" s="274"/>
    </row>
    <row r="4" spans="1:7" s="489" customFormat="1" ht="12.6">
      <c r="A4" s="790" t="s">
        <v>1679</v>
      </c>
      <c r="B4" s="275"/>
      <c r="C4" s="275"/>
      <c r="D4" s="275"/>
      <c r="E4" s="275"/>
      <c r="F4" s="275"/>
      <c r="G4" s="275"/>
    </row>
    <row r="5" spans="1:7" s="489" customFormat="1" ht="12.3">
      <c r="A5" s="791" t="s">
        <v>2509</v>
      </c>
      <c r="B5" s="922">
        <f>'Sources and Uses Budget'!C4</f>
        <v>2200000</v>
      </c>
      <c r="C5" s="922">
        <f>'Sources and Uses Budget'!C4</f>
        <v>2200000</v>
      </c>
      <c r="D5" s="922">
        <f>'Sources and Uses Budget'!C4</f>
        <v>2200000</v>
      </c>
      <c r="E5" s="923">
        <f>C5-B5</f>
        <v>0</v>
      </c>
      <c r="F5" s="924"/>
      <c r="G5" s="924"/>
    </row>
    <row r="6" spans="1:7" s="489" customFormat="1" ht="12.3">
      <c r="A6" s="791" t="s">
        <v>2510</v>
      </c>
      <c r="B6" s="922">
        <f>'Sources and Uses Budget'!C5</f>
        <v>55000</v>
      </c>
      <c r="C6" s="922">
        <f>'Sources and Uses Budget'!C5</f>
        <v>55000</v>
      </c>
      <c r="D6" s="922">
        <f>'Sources and Uses Budget'!C5</f>
        <v>55000</v>
      </c>
      <c r="E6" s="923">
        <f t="shared" ref="E6:E73" si="0">C6-B6</f>
        <v>0</v>
      </c>
      <c r="F6" s="924"/>
      <c r="G6" s="924"/>
    </row>
    <row r="7" spans="1:7" s="489" customFormat="1" ht="12.3">
      <c r="A7" s="791" t="s">
        <v>1682</v>
      </c>
      <c r="B7" s="922">
        <f>'Sources and Uses Budget'!C6</f>
        <v>62300</v>
      </c>
      <c r="C7" s="922">
        <f>'Sources and Uses Budget'!C6</f>
        <v>62300</v>
      </c>
      <c r="D7" s="922">
        <f>'Sources and Uses Budget'!C6</f>
        <v>62300</v>
      </c>
      <c r="E7" s="923">
        <f t="shared" si="0"/>
        <v>0</v>
      </c>
      <c r="F7" s="924"/>
      <c r="G7" s="924"/>
    </row>
    <row r="8" spans="1:7" s="489" customFormat="1" ht="12.3">
      <c r="A8" s="791" t="s">
        <v>1683</v>
      </c>
      <c r="B8" s="922">
        <f>'Sources and Uses Budget'!C7</f>
        <v>0</v>
      </c>
      <c r="C8" s="922">
        <f>'Sources and Uses Budget'!C7</f>
        <v>0</v>
      </c>
      <c r="D8" s="922">
        <f>'Sources and Uses Budget'!C7</f>
        <v>0</v>
      </c>
      <c r="E8" s="923">
        <f t="shared" si="0"/>
        <v>0</v>
      </c>
      <c r="F8" s="924"/>
      <c r="G8" s="924"/>
    </row>
    <row r="9" spans="1:7" s="489" customFormat="1" ht="12.3">
      <c r="A9" s="792" t="s">
        <v>2511</v>
      </c>
      <c r="B9" s="923">
        <f>SUM(B5:B8)</f>
        <v>2317300</v>
      </c>
      <c r="C9" s="923">
        <f>SUM(C5:C8)</f>
        <v>2317300</v>
      </c>
      <c r="D9" s="923">
        <f>SUM(D5:D8)</f>
        <v>2317300</v>
      </c>
      <c r="E9" s="923">
        <f t="shared" si="0"/>
        <v>0</v>
      </c>
      <c r="F9" s="924"/>
      <c r="G9" s="924"/>
    </row>
    <row r="10" spans="1:7" s="489" customFormat="1" ht="12.3">
      <c r="A10" s="791" t="s">
        <v>2512</v>
      </c>
      <c r="B10" s="922">
        <f>'Sources and Uses Budget'!C9</f>
        <v>0</v>
      </c>
      <c r="C10" s="922">
        <f>'Sources and Uses Budget'!C9</f>
        <v>0</v>
      </c>
      <c r="D10" s="922">
        <f>'Sources and Uses Budget'!C9</f>
        <v>0</v>
      </c>
      <c r="E10" s="923">
        <f t="shared" si="0"/>
        <v>0</v>
      </c>
      <c r="F10" s="924"/>
      <c r="G10" s="924"/>
    </row>
    <row r="11" spans="1:7" s="489" customFormat="1" ht="12.3">
      <c r="A11" s="791" t="s">
        <v>2513</v>
      </c>
      <c r="B11" s="922">
        <f>'Sources and Uses Budget'!C10</f>
        <v>100000</v>
      </c>
      <c r="C11" s="922">
        <f>'Sources and Uses Budget'!C10</f>
        <v>100000</v>
      </c>
      <c r="D11" s="922">
        <f>'Sources and Uses Budget'!C10</f>
        <v>100000</v>
      </c>
      <c r="E11" s="923">
        <f t="shared" si="0"/>
        <v>0</v>
      </c>
      <c r="F11" s="924"/>
      <c r="G11" s="924"/>
    </row>
    <row r="12" spans="1:7" s="489" customFormat="1" ht="12.3">
      <c r="A12" s="792" t="s">
        <v>1687</v>
      </c>
      <c r="B12" s="923">
        <f>SUM(B10:B11)</f>
        <v>100000</v>
      </c>
      <c r="C12" s="923">
        <f>SUM(C10:C11)</f>
        <v>100000</v>
      </c>
      <c r="D12" s="923">
        <f>SUM(D10:D11)</f>
        <v>100000</v>
      </c>
      <c r="E12" s="923">
        <f t="shared" si="0"/>
        <v>0</v>
      </c>
      <c r="F12" s="924"/>
      <c r="G12" s="924"/>
    </row>
    <row r="13" spans="1:7" s="489" customFormat="1" ht="12.3">
      <c r="A13" s="792" t="s">
        <v>1688</v>
      </c>
      <c r="B13" s="923">
        <f>SUM(B9+B12)</f>
        <v>2417300</v>
      </c>
      <c r="C13" s="923">
        <f>SUM(C9+C12)</f>
        <v>2417300</v>
      </c>
      <c r="D13" s="923">
        <f>SUM(D9+D12)</f>
        <v>2417300</v>
      </c>
      <c r="E13" s="923">
        <f t="shared" si="0"/>
        <v>0</v>
      </c>
      <c r="F13" s="924"/>
      <c r="G13" s="924"/>
    </row>
    <row r="14" spans="1:7" s="489" customFormat="1" ht="12.3">
      <c r="A14" s="793" t="s">
        <v>1689</v>
      </c>
      <c r="B14" s="922">
        <f>'Sources and Uses Budget'!C13</f>
        <v>252750</v>
      </c>
      <c r="C14" s="922">
        <f>'Sources and Uses Budget'!C13</f>
        <v>252750</v>
      </c>
      <c r="D14" s="922">
        <f>'Sources and Uses Budget'!C13</f>
        <v>252750</v>
      </c>
      <c r="E14" s="923">
        <f t="shared" si="0"/>
        <v>0</v>
      </c>
      <c r="F14" s="924"/>
      <c r="G14" s="924"/>
    </row>
    <row r="15" spans="1:7" s="489" customFormat="1" ht="22.8">
      <c r="A15" s="791" t="s">
        <v>1690</v>
      </c>
      <c r="B15" s="922">
        <f>'Sources and Uses Budget'!C14</f>
        <v>0</v>
      </c>
      <c r="C15" s="922">
        <f>'Sources and Uses Budget'!C14</f>
        <v>0</v>
      </c>
      <c r="D15" s="922">
        <f>'Sources and Uses Budget'!C14</f>
        <v>0</v>
      </c>
      <c r="E15" s="923">
        <f t="shared" si="0"/>
        <v>0</v>
      </c>
      <c r="F15" s="924"/>
      <c r="G15" s="924"/>
    </row>
    <row r="16" spans="1:7" s="489" customFormat="1" ht="12.3">
      <c r="A16" s="791" t="s">
        <v>1691</v>
      </c>
      <c r="B16" s="922">
        <f>'Sources and Uses Budget'!C15</f>
        <v>0</v>
      </c>
      <c r="C16" s="922">
        <f>'Sources and Uses Budget'!C15</f>
        <v>0</v>
      </c>
      <c r="D16" s="922">
        <f>'Sources and Uses Budget'!C15</f>
        <v>0</v>
      </c>
      <c r="E16" s="923">
        <f t="shared" si="0"/>
        <v>0</v>
      </c>
      <c r="F16" s="924"/>
      <c r="G16" s="924"/>
    </row>
    <row r="17" spans="1:7" s="489" customFormat="1" ht="12.6">
      <c r="A17" s="790" t="s">
        <v>1692</v>
      </c>
      <c r="B17" s="275"/>
      <c r="C17" s="275"/>
      <c r="D17" s="275"/>
      <c r="E17" s="275"/>
      <c r="F17" s="275"/>
      <c r="G17" s="275"/>
    </row>
    <row r="18" spans="1:7" s="489" customFormat="1" ht="12.3">
      <c r="A18" s="205" t="s">
        <v>1693</v>
      </c>
      <c r="B18" s="922">
        <f>'Sources and Uses Budget'!C17</f>
        <v>0</v>
      </c>
      <c r="C18" s="922">
        <f>'Sources and Uses Budget'!C17</f>
        <v>0</v>
      </c>
      <c r="D18" s="922">
        <f>'Sources and Uses Budget'!C17</f>
        <v>0</v>
      </c>
      <c r="E18" s="923">
        <f t="shared" si="0"/>
        <v>0</v>
      </c>
      <c r="F18" s="924"/>
      <c r="G18" s="924"/>
    </row>
    <row r="19" spans="1:7" s="489" customFormat="1" ht="12.3">
      <c r="A19" s="205" t="s">
        <v>1694</v>
      </c>
      <c r="B19" s="922">
        <f>'Sources and Uses Budget'!C18</f>
        <v>0</v>
      </c>
      <c r="C19" s="922">
        <f>'Sources and Uses Budget'!C18</f>
        <v>0</v>
      </c>
      <c r="D19" s="922">
        <f>'Sources and Uses Budget'!C18</f>
        <v>0</v>
      </c>
      <c r="E19" s="923">
        <f t="shared" ref="E19:E26" si="1">C19-B19</f>
        <v>0</v>
      </c>
      <c r="F19" s="924"/>
      <c r="G19" s="924"/>
    </row>
    <row r="20" spans="1:7" s="489" customFormat="1" ht="12.3">
      <c r="A20" s="205" t="s">
        <v>1695</v>
      </c>
      <c r="B20" s="922">
        <f>'Sources and Uses Budget'!C19</f>
        <v>0</v>
      </c>
      <c r="C20" s="922">
        <f>'Sources and Uses Budget'!C19</f>
        <v>0</v>
      </c>
      <c r="D20" s="922">
        <f>'Sources and Uses Budget'!C19</f>
        <v>0</v>
      </c>
      <c r="E20" s="923">
        <f t="shared" si="1"/>
        <v>0</v>
      </c>
      <c r="F20" s="924"/>
      <c r="G20" s="924"/>
    </row>
    <row r="21" spans="1:7" s="489" customFormat="1" ht="12.3">
      <c r="A21" s="205" t="s">
        <v>1696</v>
      </c>
      <c r="B21" s="922">
        <f>'Sources and Uses Budget'!C20</f>
        <v>0</v>
      </c>
      <c r="C21" s="922">
        <f>'Sources and Uses Budget'!C20</f>
        <v>0</v>
      </c>
      <c r="D21" s="922">
        <f>'Sources and Uses Budget'!C20</f>
        <v>0</v>
      </c>
      <c r="E21" s="923">
        <f t="shared" si="1"/>
        <v>0</v>
      </c>
      <c r="F21" s="924"/>
      <c r="G21" s="924"/>
    </row>
    <row r="22" spans="1:7" s="489" customFormat="1" ht="12.3">
      <c r="A22" s="205" t="s">
        <v>1697</v>
      </c>
      <c r="B22" s="922">
        <f>'Sources and Uses Budget'!C21</f>
        <v>0</v>
      </c>
      <c r="C22" s="922">
        <f>'Sources and Uses Budget'!C21</f>
        <v>0</v>
      </c>
      <c r="D22" s="922">
        <f>'Sources and Uses Budget'!C21</f>
        <v>0</v>
      </c>
      <c r="E22" s="923">
        <f t="shared" si="1"/>
        <v>0</v>
      </c>
      <c r="F22" s="924"/>
      <c r="G22" s="924"/>
    </row>
    <row r="23" spans="1:7" s="489" customFormat="1" ht="12.3">
      <c r="A23" s="205" t="s">
        <v>1698</v>
      </c>
      <c r="B23" s="922">
        <f>'Sources and Uses Budget'!C22</f>
        <v>0</v>
      </c>
      <c r="C23" s="922">
        <f>'Sources and Uses Budget'!C22</f>
        <v>0</v>
      </c>
      <c r="D23" s="922">
        <f>'Sources and Uses Budget'!C22</f>
        <v>0</v>
      </c>
      <c r="E23" s="923">
        <f t="shared" si="1"/>
        <v>0</v>
      </c>
      <c r="F23" s="924"/>
      <c r="G23" s="924"/>
    </row>
    <row r="24" spans="1:7" s="489" customFormat="1" ht="12.3">
      <c r="A24" s="205" t="s">
        <v>1699</v>
      </c>
      <c r="B24" s="922">
        <f>'Sources and Uses Budget'!C23</f>
        <v>0</v>
      </c>
      <c r="C24" s="922">
        <f>'Sources and Uses Budget'!C23</f>
        <v>0</v>
      </c>
      <c r="D24" s="922">
        <f>'Sources and Uses Budget'!C23</f>
        <v>0</v>
      </c>
      <c r="E24" s="923">
        <f t="shared" si="1"/>
        <v>0</v>
      </c>
      <c r="F24" s="924"/>
      <c r="G24" s="924"/>
    </row>
    <row r="25" spans="1:7" s="489" customFormat="1" ht="12.3">
      <c r="A25" s="216" t="s">
        <v>1700</v>
      </c>
      <c r="B25" s="922">
        <f>'Sources and Uses Budget'!C24</f>
        <v>0</v>
      </c>
      <c r="C25" s="922">
        <f>'Sources and Uses Budget'!C24</f>
        <v>0</v>
      </c>
      <c r="D25" s="922">
        <f>'Sources and Uses Budget'!C24</f>
        <v>0</v>
      </c>
      <c r="E25" s="923">
        <f t="shared" si="1"/>
        <v>0</v>
      </c>
      <c r="F25" s="924"/>
      <c r="G25" s="924"/>
    </row>
    <row r="26" spans="1:7" s="489" customFormat="1" ht="12.3">
      <c r="A26" s="216" t="s">
        <v>1701</v>
      </c>
      <c r="B26" s="922">
        <f>'Sources and Uses Budget'!C25</f>
        <v>0</v>
      </c>
      <c r="C26" s="922">
        <f>'Sources and Uses Budget'!C25</f>
        <v>0</v>
      </c>
      <c r="D26" s="922">
        <f>'Sources and Uses Budget'!C25</f>
        <v>0</v>
      </c>
      <c r="E26" s="923">
        <f t="shared" si="1"/>
        <v>0</v>
      </c>
      <c r="F26" s="924"/>
      <c r="G26" s="924"/>
    </row>
    <row r="27" spans="1:7" s="489" customFormat="1" ht="12.3">
      <c r="A27" s="276" t="s">
        <v>1702</v>
      </c>
      <c r="B27" s="925">
        <f>'Sources and Uses Budget'!C26</f>
        <v>0</v>
      </c>
      <c r="C27" s="925">
        <f>'Sources and Uses Budget'!C26</f>
        <v>0</v>
      </c>
      <c r="D27" s="925">
        <f>'Sources and Uses Budget'!C26</f>
        <v>0</v>
      </c>
      <c r="E27" s="923">
        <f>C27-B27</f>
        <v>0</v>
      </c>
      <c r="F27" s="924"/>
      <c r="G27" s="924"/>
    </row>
    <row r="28" spans="1:7" s="489" customFormat="1" ht="12.3">
      <c r="A28" s="794" t="s">
        <v>1703</v>
      </c>
      <c r="B28" s="922">
        <f>'Sources and Uses Budget'!C27</f>
        <v>0</v>
      </c>
      <c r="C28" s="922">
        <f>'Sources and Uses Budget'!C27</f>
        <v>0</v>
      </c>
      <c r="D28" s="922">
        <f>'Sources and Uses Budget'!C27</f>
        <v>0</v>
      </c>
      <c r="E28" s="923">
        <f>C28-B28</f>
        <v>0</v>
      </c>
      <c r="F28" s="924"/>
      <c r="G28" s="924"/>
    </row>
    <row r="29" spans="1:7" s="489" customFormat="1" ht="12.6">
      <c r="A29" s="790" t="s">
        <v>1704</v>
      </c>
      <c r="B29" s="275"/>
      <c r="C29" s="275"/>
      <c r="D29" s="275"/>
      <c r="E29" s="275"/>
      <c r="F29" s="275"/>
      <c r="G29" s="275"/>
    </row>
    <row r="30" spans="1:7" s="489" customFormat="1" ht="12.3">
      <c r="A30" s="205" t="s">
        <v>1693</v>
      </c>
      <c r="B30" s="922">
        <f>'Sources and Uses Budget'!C29</f>
        <v>350000</v>
      </c>
      <c r="C30" s="922">
        <f>'Sources and Uses Budget'!C29</f>
        <v>350000</v>
      </c>
      <c r="D30" s="922">
        <f>'Sources and Uses Budget'!C29</f>
        <v>350000</v>
      </c>
      <c r="E30" s="923">
        <f t="shared" si="0"/>
        <v>0</v>
      </c>
      <c r="F30" s="924"/>
      <c r="G30" s="924"/>
    </row>
    <row r="31" spans="1:7" s="489" customFormat="1" ht="12.3">
      <c r="A31" s="205" t="s">
        <v>1694</v>
      </c>
      <c r="B31" s="922">
        <f>'Sources and Uses Budget'!C30</f>
        <v>10960000</v>
      </c>
      <c r="C31" s="922">
        <f>'Sources and Uses Budget'!C30</f>
        <v>10960000</v>
      </c>
      <c r="D31" s="922">
        <f>'Sources and Uses Budget'!C30</f>
        <v>10960000</v>
      </c>
      <c r="E31" s="923">
        <f t="shared" si="0"/>
        <v>0</v>
      </c>
      <c r="F31" s="924"/>
      <c r="G31" s="924"/>
    </row>
    <row r="32" spans="1:7" s="489" customFormat="1" ht="12.3">
      <c r="A32" s="205" t="s">
        <v>1695</v>
      </c>
      <c r="B32" s="922">
        <f>'Sources and Uses Budget'!C31</f>
        <v>736000</v>
      </c>
      <c r="C32" s="922">
        <f>'Sources and Uses Budget'!C31</f>
        <v>736000</v>
      </c>
      <c r="D32" s="922">
        <f>'Sources and Uses Budget'!C31</f>
        <v>736000</v>
      </c>
      <c r="E32" s="923">
        <f t="shared" si="0"/>
        <v>0</v>
      </c>
      <c r="F32" s="924"/>
      <c r="G32" s="924"/>
    </row>
    <row r="33" spans="1:7" s="489" customFormat="1" ht="12.3">
      <c r="A33" s="205" t="s">
        <v>1696</v>
      </c>
      <c r="B33" s="922">
        <f>'Sources and Uses Budget'!C32</f>
        <v>232000</v>
      </c>
      <c r="C33" s="922">
        <f>'Sources and Uses Budget'!C32</f>
        <v>232000</v>
      </c>
      <c r="D33" s="922">
        <f>'Sources and Uses Budget'!C32</f>
        <v>232000</v>
      </c>
      <c r="E33" s="923">
        <f t="shared" si="0"/>
        <v>0</v>
      </c>
      <c r="F33" s="924"/>
      <c r="G33" s="924"/>
    </row>
    <row r="34" spans="1:7" s="489" customFormat="1" ht="12.3">
      <c r="A34" s="205" t="s">
        <v>1697</v>
      </c>
      <c r="B34" s="922">
        <f>'Sources and Uses Budget'!C33</f>
        <v>463000</v>
      </c>
      <c r="C34" s="922">
        <f>'Sources and Uses Budget'!C33</f>
        <v>463000</v>
      </c>
      <c r="D34" s="922">
        <f>'Sources and Uses Budget'!C33</f>
        <v>463000</v>
      </c>
      <c r="E34" s="923">
        <f t="shared" si="0"/>
        <v>0</v>
      </c>
      <c r="F34" s="924"/>
      <c r="G34" s="924"/>
    </row>
    <row r="35" spans="1:7" s="489" customFormat="1" ht="12.3">
      <c r="A35" s="205" t="s">
        <v>1698</v>
      </c>
      <c r="B35" s="922">
        <f>'Sources and Uses Budget'!C34</f>
        <v>780000</v>
      </c>
      <c r="C35" s="922">
        <f>'Sources and Uses Budget'!C34</f>
        <v>780000</v>
      </c>
      <c r="D35" s="922">
        <f>'Sources and Uses Budget'!C34</f>
        <v>780000</v>
      </c>
      <c r="E35" s="923">
        <f t="shared" si="0"/>
        <v>0</v>
      </c>
      <c r="F35" s="924"/>
      <c r="G35" s="924"/>
    </row>
    <row r="36" spans="1:7" s="489" customFormat="1" ht="12.3">
      <c r="A36" s="205" t="s">
        <v>1699</v>
      </c>
      <c r="B36" s="922">
        <f>'Sources and Uses Budget'!C35</f>
        <v>195000</v>
      </c>
      <c r="C36" s="922">
        <f>'Sources and Uses Budget'!C35</f>
        <v>195000</v>
      </c>
      <c r="D36" s="922">
        <f>'Sources and Uses Budget'!C35</f>
        <v>195000</v>
      </c>
      <c r="E36" s="923">
        <f t="shared" si="0"/>
        <v>0</v>
      </c>
      <c r="F36" s="924"/>
      <c r="G36" s="924"/>
    </row>
    <row r="37" spans="1:7" s="489" customFormat="1" ht="12.3">
      <c r="A37" s="205" t="s">
        <v>1700</v>
      </c>
      <c r="B37" s="922">
        <f>'Sources and Uses Budget'!C36</f>
        <v>84000</v>
      </c>
      <c r="C37" s="922">
        <f>'Sources and Uses Budget'!C36</f>
        <v>84000</v>
      </c>
      <c r="D37" s="922">
        <f>'Sources and Uses Budget'!C36</f>
        <v>84000</v>
      </c>
      <c r="E37" s="923">
        <f t="shared" si="0"/>
        <v>0</v>
      </c>
      <c r="F37" s="924"/>
      <c r="G37" s="924"/>
    </row>
    <row r="38" spans="1:7" s="489" customFormat="1" ht="12.3">
      <c r="A38" s="216" t="s">
        <v>1701</v>
      </c>
      <c r="B38" s="922">
        <f>'Sources and Uses Budget'!C37</f>
        <v>0</v>
      </c>
      <c r="C38" s="922">
        <f>'Sources and Uses Budget'!C37</f>
        <v>0</v>
      </c>
      <c r="D38" s="922">
        <f>'Sources and Uses Budget'!C37</f>
        <v>0</v>
      </c>
      <c r="E38" s="923">
        <f>C38-B38</f>
        <v>0</v>
      </c>
      <c r="F38" s="924"/>
      <c r="G38" s="924"/>
    </row>
    <row r="39" spans="1:7" s="489" customFormat="1" ht="12.3">
      <c r="A39" s="794" t="s">
        <v>1705</v>
      </c>
      <c r="B39" s="925">
        <f>'Sources and Uses Budget'!C38</f>
        <v>13800000</v>
      </c>
      <c r="C39" s="925">
        <f>'Sources and Uses Budget'!C38</f>
        <v>13800000</v>
      </c>
      <c r="D39" s="925">
        <f>'Sources and Uses Budget'!C38</f>
        <v>13800000</v>
      </c>
      <c r="E39" s="923">
        <f>C39-B39</f>
        <v>0</v>
      </c>
      <c r="F39" s="924"/>
      <c r="G39" s="924"/>
    </row>
    <row r="40" spans="1:7" s="489" customFormat="1" ht="12.6">
      <c r="A40" s="790" t="s">
        <v>1706</v>
      </c>
      <c r="B40" s="275"/>
      <c r="C40" s="275"/>
      <c r="D40" s="275"/>
      <c r="E40" s="275"/>
      <c r="F40" s="275"/>
      <c r="G40" s="275"/>
    </row>
    <row r="41" spans="1:7" s="489" customFormat="1" ht="12.3">
      <c r="A41" s="795" t="s">
        <v>1707</v>
      </c>
      <c r="B41" s="922">
        <f>'Sources and Uses Budget'!C40</f>
        <v>350000</v>
      </c>
      <c r="C41" s="922">
        <f>'Sources and Uses Budget'!C40</f>
        <v>350000</v>
      </c>
      <c r="D41" s="922">
        <f>'Sources and Uses Budget'!C40</f>
        <v>350000</v>
      </c>
      <c r="E41" s="923">
        <f>C41-B41</f>
        <v>0</v>
      </c>
      <c r="F41" s="924"/>
      <c r="G41" s="924"/>
    </row>
    <row r="42" spans="1:7" s="489" customFormat="1" ht="12.3">
      <c r="A42" s="795" t="s">
        <v>1708</v>
      </c>
      <c r="B42" s="922">
        <f>'Sources and Uses Budget'!C41</f>
        <v>100000</v>
      </c>
      <c r="C42" s="922">
        <f>'Sources and Uses Budget'!C41</f>
        <v>100000</v>
      </c>
      <c r="D42" s="922">
        <f>'Sources and Uses Budget'!C41</f>
        <v>100000</v>
      </c>
      <c r="E42" s="923">
        <f>C42-B42</f>
        <v>0</v>
      </c>
      <c r="F42" s="924"/>
      <c r="G42" s="924"/>
    </row>
    <row r="43" spans="1:7" s="489" customFormat="1" ht="12" customHeight="1">
      <c r="A43" s="794" t="s">
        <v>1709</v>
      </c>
      <c r="B43" s="925">
        <f>'Sources and Uses Budget'!C42</f>
        <v>450000</v>
      </c>
      <c r="C43" s="925">
        <f>'Sources and Uses Budget'!C42</f>
        <v>450000</v>
      </c>
      <c r="D43" s="925">
        <f>'Sources and Uses Budget'!C42</f>
        <v>450000</v>
      </c>
      <c r="E43" s="923">
        <f>C43-B43</f>
        <v>0</v>
      </c>
      <c r="F43" s="924"/>
      <c r="G43" s="924"/>
    </row>
    <row r="44" spans="1:7" s="489" customFormat="1" ht="12.3">
      <c r="A44" s="794" t="s">
        <v>1710</v>
      </c>
      <c r="B44" s="922">
        <f>'Sources and Uses Budget'!C43</f>
        <v>130000</v>
      </c>
      <c r="C44" s="922">
        <f>'Sources and Uses Budget'!C43</f>
        <v>130000</v>
      </c>
      <c r="D44" s="922">
        <f>'Sources and Uses Budget'!C43</f>
        <v>130000</v>
      </c>
      <c r="E44" s="923">
        <f>C44-B44</f>
        <v>0</v>
      </c>
      <c r="F44" s="924"/>
      <c r="G44" s="924"/>
    </row>
    <row r="45" spans="1:7" s="489" customFormat="1" ht="12.6">
      <c r="A45" s="201" t="s">
        <v>1711</v>
      </c>
      <c r="B45" s="275"/>
      <c r="C45" s="275"/>
      <c r="D45" s="275"/>
      <c r="E45" s="275"/>
      <c r="F45" s="275"/>
      <c r="G45" s="275"/>
    </row>
    <row r="46" spans="1:7" s="489" customFormat="1" ht="12" customHeight="1">
      <c r="A46" s="205" t="s">
        <v>1712</v>
      </c>
      <c r="B46" s="922">
        <f>'Sources and Uses Budget'!C45</f>
        <v>800000</v>
      </c>
      <c r="C46" s="922">
        <f>'Sources and Uses Budget'!C45</f>
        <v>800000</v>
      </c>
      <c r="D46" s="922">
        <f>'Sources and Uses Budget'!C45</f>
        <v>800000</v>
      </c>
      <c r="E46" s="923">
        <f t="shared" si="0"/>
        <v>0</v>
      </c>
      <c r="F46" s="924"/>
      <c r="G46" s="924"/>
    </row>
    <row r="47" spans="1:7" s="489" customFormat="1" ht="12.3">
      <c r="A47" s="205" t="s">
        <v>1713</v>
      </c>
      <c r="B47" s="922">
        <f>'Sources and Uses Budget'!C46</f>
        <v>140000</v>
      </c>
      <c r="C47" s="922">
        <f>'Sources and Uses Budget'!C46</f>
        <v>140000</v>
      </c>
      <c r="D47" s="922">
        <f>'Sources and Uses Budget'!C46</f>
        <v>140000</v>
      </c>
      <c r="E47" s="923">
        <f t="shared" si="0"/>
        <v>0</v>
      </c>
      <c r="F47" s="924"/>
      <c r="G47" s="924"/>
    </row>
    <row r="48" spans="1:7" s="489" customFormat="1" ht="12.3">
      <c r="A48" s="205" t="s">
        <v>1714</v>
      </c>
      <c r="B48" s="922">
        <f>'Sources and Uses Budget'!C47</f>
        <v>0</v>
      </c>
      <c r="C48" s="922">
        <f>'Sources and Uses Budget'!C47</f>
        <v>0</v>
      </c>
      <c r="D48" s="922">
        <f>'Sources and Uses Budget'!C47</f>
        <v>0</v>
      </c>
      <c r="E48" s="923">
        <f t="shared" si="0"/>
        <v>0</v>
      </c>
      <c r="F48" s="924"/>
      <c r="G48" s="924"/>
    </row>
    <row r="49" spans="1:7" s="489" customFormat="1" ht="12.3">
      <c r="A49" s="205" t="s">
        <v>1715</v>
      </c>
      <c r="B49" s="922">
        <f>'Sources and Uses Budget'!C48</f>
        <v>0</v>
      </c>
      <c r="C49" s="922">
        <f>'Sources and Uses Budget'!C48</f>
        <v>0</v>
      </c>
      <c r="D49" s="922">
        <f>'Sources and Uses Budget'!C48</f>
        <v>0</v>
      </c>
      <c r="E49" s="923">
        <f t="shared" si="0"/>
        <v>0</v>
      </c>
      <c r="F49" s="924"/>
      <c r="G49" s="924"/>
    </row>
    <row r="50" spans="1:7" s="489" customFormat="1" ht="12.3">
      <c r="A50" s="205" t="s">
        <v>1716</v>
      </c>
      <c r="B50" s="922">
        <f>'Sources and Uses Budget'!C49</f>
        <v>44150</v>
      </c>
      <c r="C50" s="922">
        <f>'Sources and Uses Budget'!C49</f>
        <v>44150</v>
      </c>
      <c r="D50" s="922">
        <f>'Sources and Uses Budget'!C49</f>
        <v>44150</v>
      </c>
      <c r="E50" s="923">
        <f t="shared" si="0"/>
        <v>0</v>
      </c>
      <c r="F50" s="924"/>
      <c r="G50" s="924"/>
    </row>
    <row r="51" spans="1:7" s="489" customFormat="1" ht="12.3">
      <c r="A51" s="205" t="s">
        <v>1717</v>
      </c>
      <c r="B51" s="922">
        <f>'Sources and Uses Budget'!C50</f>
        <v>55000</v>
      </c>
      <c r="C51" s="922">
        <f>'Sources and Uses Budget'!C50</f>
        <v>55000</v>
      </c>
      <c r="D51" s="922">
        <f>'Sources and Uses Budget'!C50</f>
        <v>55000</v>
      </c>
      <c r="E51" s="923">
        <f t="shared" si="0"/>
        <v>0</v>
      </c>
      <c r="F51" s="924"/>
      <c r="G51" s="924"/>
    </row>
    <row r="52" spans="1:7" s="490" customFormat="1" ht="12.3">
      <c r="A52" s="205" t="s">
        <v>1718</v>
      </c>
      <c r="B52" s="922">
        <f>'Sources and Uses Budget'!C51</f>
        <v>85000</v>
      </c>
      <c r="C52" s="922">
        <f>'Sources and Uses Budget'!C51</f>
        <v>85000</v>
      </c>
      <c r="D52" s="922">
        <f>'Sources and Uses Budget'!C51</f>
        <v>85000</v>
      </c>
      <c r="E52" s="923">
        <f t="shared" si="0"/>
        <v>0</v>
      </c>
      <c r="F52" s="924"/>
      <c r="G52" s="924"/>
    </row>
    <row r="53" spans="1:7" s="489" customFormat="1" ht="12.3">
      <c r="A53" s="212" t="s">
        <v>1701</v>
      </c>
      <c r="B53" s="922">
        <f>'Sources and Uses Budget'!C52</f>
        <v>0</v>
      </c>
      <c r="C53" s="922">
        <f>'Sources and Uses Budget'!C52</f>
        <v>0</v>
      </c>
      <c r="D53" s="922">
        <f>'Sources and Uses Budget'!C52</f>
        <v>0</v>
      </c>
      <c r="E53" s="923">
        <f t="shared" si="0"/>
        <v>0</v>
      </c>
      <c r="F53" s="924"/>
      <c r="G53" s="924"/>
    </row>
    <row r="54" spans="1:7" s="489" customFormat="1" ht="12.3">
      <c r="A54" s="209" t="s">
        <v>1719</v>
      </c>
      <c r="B54" s="925">
        <f>'Sources and Uses Budget'!C53</f>
        <v>1124150</v>
      </c>
      <c r="C54" s="925">
        <f>'Sources and Uses Budget'!C53</f>
        <v>1124150</v>
      </c>
      <c r="D54" s="925">
        <f>'Sources and Uses Budget'!C53</f>
        <v>1124150</v>
      </c>
      <c r="E54" s="923">
        <f t="shared" si="0"/>
        <v>0</v>
      </c>
      <c r="F54" s="924"/>
      <c r="G54" s="924"/>
    </row>
    <row r="55" spans="1:7" s="489" customFormat="1" ht="12" customHeight="1">
      <c r="A55" s="790" t="s">
        <v>1326</v>
      </c>
      <c r="B55" s="275"/>
      <c r="C55" s="275"/>
      <c r="D55" s="275"/>
      <c r="E55" s="275"/>
      <c r="F55" s="275"/>
      <c r="G55" s="275"/>
    </row>
    <row r="56" spans="1:7" s="489" customFormat="1" ht="12.3">
      <c r="A56" s="795" t="s">
        <v>1720</v>
      </c>
      <c r="B56" s="922">
        <f>'Sources and Uses Budget'!C55</f>
        <v>120600</v>
      </c>
      <c r="C56" s="922">
        <f>'Sources and Uses Budget'!C55</f>
        <v>120600</v>
      </c>
      <c r="D56" s="922">
        <f>'Sources and Uses Budget'!C55</f>
        <v>120600</v>
      </c>
      <c r="E56" s="923">
        <f t="shared" si="0"/>
        <v>0</v>
      </c>
      <c r="F56" s="924"/>
      <c r="G56" s="924"/>
    </row>
    <row r="57" spans="1:7" s="489" customFormat="1" ht="12.3">
      <c r="A57" s="795" t="s">
        <v>1714</v>
      </c>
      <c r="B57" s="922">
        <f>'Sources and Uses Budget'!C56</f>
        <v>0</v>
      </c>
      <c r="C57" s="922">
        <f>'Sources and Uses Budget'!C56</f>
        <v>0</v>
      </c>
      <c r="D57" s="922">
        <f>'Sources and Uses Budget'!C56</f>
        <v>0</v>
      </c>
      <c r="E57" s="923">
        <f t="shared" si="0"/>
        <v>0</v>
      </c>
      <c r="F57" s="924"/>
      <c r="G57" s="924"/>
    </row>
    <row r="58" spans="1:7" s="489" customFormat="1" ht="12.3">
      <c r="A58" s="795" t="s">
        <v>1716</v>
      </c>
      <c r="B58" s="922">
        <f>'Sources and Uses Budget'!C57</f>
        <v>10000</v>
      </c>
      <c r="C58" s="922">
        <f>'Sources and Uses Budget'!C57</f>
        <v>10000</v>
      </c>
      <c r="D58" s="922">
        <f>'Sources and Uses Budget'!C57</f>
        <v>10000</v>
      </c>
      <c r="E58" s="923">
        <f t="shared" si="0"/>
        <v>0</v>
      </c>
      <c r="F58" s="924"/>
      <c r="G58" s="924"/>
    </row>
    <row r="59" spans="1:7" s="489" customFormat="1" ht="12.3">
      <c r="A59" s="795" t="s">
        <v>1717</v>
      </c>
      <c r="B59" s="922">
        <f>'Sources and Uses Budget'!C58</f>
        <v>0</v>
      </c>
      <c r="C59" s="922">
        <f>'Sources and Uses Budget'!C58</f>
        <v>0</v>
      </c>
      <c r="D59" s="922">
        <f>'Sources and Uses Budget'!C58</f>
        <v>0</v>
      </c>
      <c r="E59" s="923">
        <f t="shared" si="0"/>
        <v>0</v>
      </c>
      <c r="F59" s="924"/>
      <c r="G59" s="924"/>
    </row>
    <row r="60" spans="1:7" s="489" customFormat="1" ht="12.3">
      <c r="A60" s="795" t="s">
        <v>1718</v>
      </c>
      <c r="B60" s="922">
        <f>'Sources and Uses Budget'!C59</f>
        <v>0</v>
      </c>
      <c r="C60" s="922">
        <f>'Sources and Uses Budget'!C59</f>
        <v>0</v>
      </c>
      <c r="D60" s="922">
        <f>'Sources and Uses Budget'!C59</f>
        <v>0</v>
      </c>
      <c r="E60" s="923">
        <f t="shared" si="0"/>
        <v>0</v>
      </c>
      <c r="F60" s="924"/>
      <c r="G60" s="924"/>
    </row>
    <row r="61" spans="1:7" s="489" customFormat="1" ht="14.1" customHeight="1">
      <c r="A61" s="796" t="s">
        <v>1701</v>
      </c>
      <c r="B61" s="922">
        <f>'Sources and Uses Budget'!C60</f>
        <v>0</v>
      </c>
      <c r="C61" s="922">
        <f>'Sources and Uses Budget'!C60</f>
        <v>0</v>
      </c>
      <c r="D61" s="922">
        <f>'Sources and Uses Budget'!C60</f>
        <v>0</v>
      </c>
      <c r="E61" s="923">
        <f t="shared" si="0"/>
        <v>0</v>
      </c>
      <c r="F61" s="924"/>
      <c r="G61" s="924"/>
    </row>
    <row r="62" spans="1:7" s="489" customFormat="1" ht="12.3">
      <c r="A62" s="794" t="s">
        <v>1721</v>
      </c>
      <c r="B62" s="925">
        <f>'Sources and Uses Budget'!C61</f>
        <v>130600</v>
      </c>
      <c r="C62" s="925">
        <f>'Sources and Uses Budget'!C61</f>
        <v>130600</v>
      </c>
      <c r="D62" s="925">
        <f>'Sources and Uses Budget'!C61</f>
        <v>130600</v>
      </c>
      <c r="E62" s="923">
        <f t="shared" si="0"/>
        <v>0</v>
      </c>
      <c r="F62" s="924"/>
      <c r="G62" s="924"/>
    </row>
    <row r="63" spans="1:7" s="489" customFormat="1" ht="12.3">
      <c r="A63" s="797" t="s">
        <v>1722</v>
      </c>
      <c r="B63" s="925">
        <f>'Sources and Uses Budget'!C62</f>
        <v>18304800</v>
      </c>
      <c r="C63" s="925">
        <f>'Sources and Uses Budget'!C62</f>
        <v>18304800</v>
      </c>
      <c r="D63" s="925">
        <f>'Sources and Uses Budget'!C62</f>
        <v>18304800</v>
      </c>
      <c r="E63" s="923">
        <f t="shared" si="0"/>
        <v>0</v>
      </c>
      <c r="F63" s="924"/>
      <c r="G63" s="924"/>
    </row>
    <row r="64" spans="1:7" s="489" customFormat="1" ht="22.8">
      <c r="A64" s="201" t="s">
        <v>1723</v>
      </c>
      <c r="B64" s="275"/>
      <c r="C64" s="275"/>
      <c r="D64" s="275"/>
      <c r="E64" s="275"/>
      <c r="F64" s="275"/>
      <c r="G64" s="275"/>
    </row>
    <row r="65" spans="1:7" s="489" customFormat="1" ht="12.3">
      <c r="A65" s="205" t="s">
        <v>1724</v>
      </c>
      <c r="B65" s="922">
        <f>'Sources and Uses Budget'!C64</f>
        <v>30000</v>
      </c>
      <c r="C65" s="922">
        <f>'Sources and Uses Budget'!C64</f>
        <v>30000</v>
      </c>
      <c r="D65" s="922">
        <f>'Sources and Uses Budget'!C64</f>
        <v>30000</v>
      </c>
      <c r="E65" s="923">
        <f t="shared" si="0"/>
        <v>0</v>
      </c>
      <c r="F65" s="924"/>
      <c r="G65" s="924"/>
    </row>
    <row r="66" spans="1:7" s="489" customFormat="1" ht="22.8">
      <c r="A66" s="205" t="s">
        <v>1725</v>
      </c>
      <c r="B66" s="922">
        <f>'Sources and Uses Budget'!C65</f>
        <v>3000</v>
      </c>
      <c r="C66" s="922">
        <f>'Sources and Uses Budget'!C65</f>
        <v>3000</v>
      </c>
      <c r="D66" s="922">
        <f>'Sources and Uses Budget'!C65</f>
        <v>3000</v>
      </c>
      <c r="E66" s="923">
        <f t="shared" si="0"/>
        <v>0</v>
      </c>
      <c r="F66" s="924"/>
      <c r="G66" s="924"/>
    </row>
    <row r="67" spans="1:7" s="489" customFormat="1" ht="22.8">
      <c r="A67" s="205" t="s">
        <v>1726</v>
      </c>
      <c r="B67" s="922">
        <f>'Sources and Uses Budget'!C66</f>
        <v>45000</v>
      </c>
      <c r="C67" s="922">
        <f>'Sources and Uses Budget'!C66</f>
        <v>45000</v>
      </c>
      <c r="D67" s="922">
        <f>'Sources and Uses Budget'!C66</f>
        <v>45000</v>
      </c>
      <c r="E67" s="923">
        <f t="shared" si="0"/>
        <v>0</v>
      </c>
      <c r="F67" s="924"/>
      <c r="G67" s="924"/>
    </row>
    <row r="68" spans="1:7" s="489" customFormat="1" ht="12.3">
      <c r="A68" s="205" t="s">
        <v>1727</v>
      </c>
      <c r="B68" s="922">
        <f>'Sources and Uses Budget'!C67</f>
        <v>0</v>
      </c>
      <c r="C68" s="922">
        <f>'Sources and Uses Budget'!C67</f>
        <v>0</v>
      </c>
      <c r="D68" s="922">
        <f>'Sources and Uses Budget'!C67</f>
        <v>0</v>
      </c>
      <c r="E68" s="923">
        <f t="shared" si="0"/>
        <v>0</v>
      </c>
      <c r="F68" s="924"/>
      <c r="G68" s="924"/>
    </row>
    <row r="69" spans="1:7" s="489" customFormat="1" ht="12.3">
      <c r="A69" s="216" t="s">
        <v>2514</v>
      </c>
      <c r="B69" s="922">
        <f>'Sources and Uses Budget'!C68</f>
        <v>90000</v>
      </c>
      <c r="C69" s="922">
        <f>'Sources and Uses Budget'!C68</f>
        <v>90000</v>
      </c>
      <c r="D69" s="922">
        <f>'Sources and Uses Budget'!C68</f>
        <v>90000</v>
      </c>
      <c r="E69" s="923">
        <f t="shared" si="0"/>
        <v>0</v>
      </c>
      <c r="F69" s="924"/>
      <c r="G69" s="924"/>
    </row>
    <row r="70" spans="1:7" s="489" customFormat="1" ht="12.3">
      <c r="A70" s="209" t="s">
        <v>1728</v>
      </c>
      <c r="B70" s="925">
        <f>'Sources and Uses Budget'!C69</f>
        <v>168000</v>
      </c>
      <c r="C70" s="925">
        <f>'Sources and Uses Budget'!C69</f>
        <v>168000</v>
      </c>
      <c r="D70" s="925">
        <f>'Sources and Uses Budget'!C69</f>
        <v>168000</v>
      </c>
      <c r="E70" s="923">
        <f t="shared" si="0"/>
        <v>0</v>
      </c>
      <c r="F70" s="924"/>
      <c r="G70" s="924"/>
    </row>
    <row r="71" spans="1:7" s="489" customFormat="1" ht="12.6">
      <c r="A71" s="790" t="s">
        <v>1729</v>
      </c>
      <c r="B71" s="275"/>
      <c r="C71" s="275"/>
      <c r="D71" s="275"/>
      <c r="E71" s="275"/>
      <c r="F71" s="275"/>
      <c r="G71" s="275"/>
    </row>
    <row r="72" spans="1:7" s="489" customFormat="1" ht="12.3">
      <c r="A72" s="795" t="s">
        <v>1730</v>
      </c>
      <c r="B72" s="922">
        <f>'Sources and Uses Budget'!C71</f>
        <v>0</v>
      </c>
      <c r="C72" s="922">
        <f>'Sources and Uses Budget'!C71</f>
        <v>0</v>
      </c>
      <c r="D72" s="922">
        <f>'Sources and Uses Budget'!C71</f>
        <v>0</v>
      </c>
      <c r="E72" s="923">
        <f t="shared" si="0"/>
        <v>0</v>
      </c>
      <c r="F72" s="924"/>
      <c r="G72" s="924"/>
    </row>
    <row r="73" spans="1:7" s="489" customFormat="1" ht="12.3">
      <c r="A73" s="795" t="s">
        <v>1731</v>
      </c>
      <c r="B73" s="922">
        <f>'Sources and Uses Budget'!C72</f>
        <v>0</v>
      </c>
      <c r="C73" s="922">
        <f>'Sources and Uses Budget'!C72</f>
        <v>0</v>
      </c>
      <c r="D73" s="922">
        <f>'Sources and Uses Budget'!C72</f>
        <v>0</v>
      </c>
      <c r="E73" s="923">
        <f t="shared" si="0"/>
        <v>0</v>
      </c>
      <c r="F73" s="924"/>
      <c r="G73" s="924"/>
    </row>
    <row r="74" spans="1:7" s="489" customFormat="1" ht="12.3">
      <c r="A74" s="798" t="s">
        <v>1732</v>
      </c>
      <c r="B74" s="922">
        <f>'Sources and Uses Budget'!C73</f>
        <v>0</v>
      </c>
      <c r="C74" s="922">
        <f>'Sources and Uses Budget'!C73</f>
        <v>0</v>
      </c>
      <c r="D74" s="922">
        <f>'Sources and Uses Budget'!C73</f>
        <v>0</v>
      </c>
      <c r="E74" s="923">
        <f>C74-B74</f>
        <v>0</v>
      </c>
      <c r="F74" s="924"/>
      <c r="G74" s="924"/>
    </row>
    <row r="75" spans="1:7" s="489" customFormat="1" ht="12.3">
      <c r="A75" s="795" t="s">
        <v>1733</v>
      </c>
      <c r="B75" s="922">
        <f>'Sources and Uses Budget'!C74</f>
        <v>86300</v>
      </c>
      <c r="C75" s="922">
        <f>'Sources and Uses Budget'!C74</f>
        <v>86300</v>
      </c>
      <c r="D75" s="922">
        <f>'Sources and Uses Budget'!C74</f>
        <v>86300</v>
      </c>
      <c r="E75" s="923">
        <f>C75-B75</f>
        <v>0</v>
      </c>
      <c r="F75" s="924"/>
      <c r="G75" s="924"/>
    </row>
    <row r="76" spans="1:7" s="489" customFormat="1" ht="12.3">
      <c r="A76" s="799" t="s">
        <v>1701</v>
      </c>
      <c r="B76" s="922">
        <f>'Sources and Uses Budget'!C75</f>
        <v>0</v>
      </c>
      <c r="C76" s="922">
        <f>'Sources and Uses Budget'!C75</f>
        <v>0</v>
      </c>
      <c r="D76" s="922">
        <f>'Sources and Uses Budget'!C75</f>
        <v>0</v>
      </c>
      <c r="E76" s="923">
        <f>C76-B76</f>
        <v>0</v>
      </c>
      <c r="F76" s="924"/>
      <c r="G76" s="924"/>
    </row>
    <row r="77" spans="1:7" s="489" customFormat="1" ht="12.3">
      <c r="A77" s="794" t="s">
        <v>1734</v>
      </c>
      <c r="B77" s="925">
        <f>'Sources and Uses Budget'!C76</f>
        <v>86300</v>
      </c>
      <c r="C77" s="925">
        <f>'Sources and Uses Budget'!C76</f>
        <v>86300</v>
      </c>
      <c r="D77" s="925">
        <f>'Sources and Uses Budget'!C76</f>
        <v>86300</v>
      </c>
      <c r="E77" s="923">
        <f>C77-B77</f>
        <v>0</v>
      </c>
      <c r="F77" s="924"/>
      <c r="G77" s="924"/>
    </row>
    <row r="78" spans="1:7" s="489" customFormat="1" ht="12.6">
      <c r="A78" s="790" t="s">
        <v>1735</v>
      </c>
      <c r="B78" s="275"/>
      <c r="C78" s="275"/>
      <c r="D78" s="275"/>
      <c r="E78" s="275"/>
      <c r="F78" s="275"/>
      <c r="G78" s="275"/>
    </row>
    <row r="79" spans="1:7" s="489" customFormat="1" ht="14.1" customHeight="1">
      <c r="A79" s="795" t="s">
        <v>1736</v>
      </c>
      <c r="B79" s="922">
        <f>'Sources and Uses Budget'!C78</f>
        <v>694000</v>
      </c>
      <c r="C79" s="922">
        <f>'Sources and Uses Budget'!C78</f>
        <v>694000</v>
      </c>
      <c r="D79" s="922">
        <f>'Sources and Uses Budget'!C78</f>
        <v>694000</v>
      </c>
      <c r="E79" s="923">
        <f t="shared" ref="E79:E105" si="2">C79-B79</f>
        <v>0</v>
      </c>
      <c r="F79" s="924"/>
      <c r="G79" s="924"/>
    </row>
    <row r="80" spans="1:7" s="489" customFormat="1" ht="12.3">
      <c r="A80" s="795" t="s">
        <v>1737</v>
      </c>
      <c r="B80" s="922">
        <f>'Sources and Uses Budget'!C79</f>
        <v>288200</v>
      </c>
      <c r="C80" s="922">
        <f>'Sources and Uses Budget'!C79</f>
        <v>288200</v>
      </c>
      <c r="D80" s="922">
        <f>'Sources and Uses Budget'!C79</f>
        <v>288200</v>
      </c>
      <c r="E80" s="923">
        <f t="shared" si="2"/>
        <v>0</v>
      </c>
      <c r="F80" s="924"/>
      <c r="G80" s="924"/>
    </row>
    <row r="81" spans="1:7" s="489" customFormat="1" ht="12.3">
      <c r="A81" s="794" t="s">
        <v>1738</v>
      </c>
      <c r="B81" s="925">
        <f>'Sources and Uses Budget'!C80</f>
        <v>982200</v>
      </c>
      <c r="C81" s="925">
        <f>'Sources and Uses Budget'!C80</f>
        <v>982200</v>
      </c>
      <c r="D81" s="925">
        <f>'Sources and Uses Budget'!C80</f>
        <v>982200</v>
      </c>
      <c r="E81" s="923">
        <f t="shared" si="2"/>
        <v>0</v>
      </c>
      <c r="F81" s="924"/>
      <c r="G81" s="924"/>
    </row>
    <row r="82" spans="1:7" s="489" customFormat="1" ht="12.6">
      <c r="A82" s="790" t="s">
        <v>1739</v>
      </c>
      <c r="B82" s="275"/>
      <c r="C82" s="275"/>
      <c r="D82" s="275"/>
      <c r="E82" s="275"/>
      <c r="F82" s="275"/>
      <c r="G82" s="275"/>
    </row>
    <row r="83" spans="1:7" s="489" customFormat="1" ht="12.3">
      <c r="A83" s="205" t="s">
        <v>1740</v>
      </c>
      <c r="B83" s="922">
        <f>'Sources and Uses Budget'!C82</f>
        <v>20000</v>
      </c>
      <c r="C83" s="922">
        <f>'Sources and Uses Budget'!C82</f>
        <v>20000</v>
      </c>
      <c r="D83" s="922">
        <f>'Sources and Uses Budget'!C82</f>
        <v>20000</v>
      </c>
      <c r="E83" s="923">
        <f t="shared" si="2"/>
        <v>0</v>
      </c>
      <c r="F83" s="924"/>
      <c r="G83" s="924"/>
    </row>
    <row r="84" spans="1:7" s="489" customFormat="1" ht="12.3">
      <c r="A84" s="205" t="s">
        <v>1741</v>
      </c>
      <c r="B84" s="922">
        <f>'Sources and Uses Budget'!C83</f>
        <v>20000</v>
      </c>
      <c r="C84" s="922">
        <f>'Sources and Uses Budget'!C83</f>
        <v>20000</v>
      </c>
      <c r="D84" s="922">
        <f>'Sources and Uses Budget'!C83</f>
        <v>20000</v>
      </c>
      <c r="E84" s="923">
        <f t="shared" si="2"/>
        <v>0</v>
      </c>
      <c r="F84" s="924"/>
      <c r="G84" s="924"/>
    </row>
    <row r="85" spans="1:7" s="489" customFormat="1" ht="12.3">
      <c r="A85" s="205" t="s">
        <v>1742</v>
      </c>
      <c r="B85" s="922">
        <f>'Sources and Uses Budget'!C84</f>
        <v>200000</v>
      </c>
      <c r="C85" s="922">
        <f>'Sources and Uses Budget'!C84</f>
        <v>200000</v>
      </c>
      <c r="D85" s="922">
        <f>'Sources and Uses Budget'!C84</f>
        <v>200000</v>
      </c>
      <c r="E85" s="923">
        <f t="shared" si="2"/>
        <v>0</v>
      </c>
      <c r="F85" s="924"/>
      <c r="G85" s="924"/>
    </row>
    <row r="86" spans="1:7" s="489" customFormat="1" ht="12.3">
      <c r="A86" s="205" t="s">
        <v>1743</v>
      </c>
      <c r="B86" s="922">
        <f>'Sources and Uses Budget'!C85</f>
        <v>150000</v>
      </c>
      <c r="C86" s="922">
        <f>'Sources and Uses Budget'!C85</f>
        <v>150000</v>
      </c>
      <c r="D86" s="922">
        <f>'Sources and Uses Budget'!C85</f>
        <v>150000</v>
      </c>
      <c r="E86" s="923">
        <f t="shared" si="2"/>
        <v>0</v>
      </c>
      <c r="F86" s="924"/>
      <c r="G86" s="924"/>
    </row>
    <row r="87" spans="1:7" s="489" customFormat="1" ht="12.3">
      <c r="A87" s="205" t="s">
        <v>1744</v>
      </c>
      <c r="B87" s="922">
        <f>'Sources and Uses Budget'!C86</f>
        <v>0</v>
      </c>
      <c r="C87" s="922">
        <f>'Sources and Uses Budget'!C86</f>
        <v>0</v>
      </c>
      <c r="D87" s="922">
        <f>'Sources and Uses Budget'!C86</f>
        <v>0</v>
      </c>
      <c r="E87" s="923">
        <f t="shared" si="2"/>
        <v>0</v>
      </c>
      <c r="F87" s="924"/>
      <c r="G87" s="924"/>
    </row>
    <row r="88" spans="1:7" s="489" customFormat="1" ht="12.3">
      <c r="A88" s="205" t="s">
        <v>1745</v>
      </c>
      <c r="B88" s="922">
        <f>'Sources and Uses Budget'!C87</f>
        <v>20000</v>
      </c>
      <c r="C88" s="922">
        <f>'Sources and Uses Budget'!C87</f>
        <v>20000</v>
      </c>
      <c r="D88" s="922">
        <f>'Sources and Uses Budget'!C87</f>
        <v>20000</v>
      </c>
      <c r="E88" s="923">
        <f t="shared" si="2"/>
        <v>0</v>
      </c>
      <c r="F88" s="924"/>
      <c r="G88" s="924"/>
    </row>
    <row r="89" spans="1:7" s="489" customFormat="1" ht="12.3">
      <c r="A89" s="205" t="s">
        <v>1746</v>
      </c>
      <c r="B89" s="922">
        <f>'Sources and Uses Budget'!C88</f>
        <v>132000</v>
      </c>
      <c r="C89" s="922">
        <f>'Sources and Uses Budget'!C88</f>
        <v>132000</v>
      </c>
      <c r="D89" s="922">
        <f>'Sources and Uses Budget'!C88</f>
        <v>132000</v>
      </c>
      <c r="E89" s="923">
        <f t="shared" si="2"/>
        <v>0</v>
      </c>
      <c r="F89" s="924"/>
      <c r="G89" s="924"/>
    </row>
    <row r="90" spans="1:7" s="489" customFormat="1" ht="12.3">
      <c r="A90" s="205" t="s">
        <v>1747</v>
      </c>
      <c r="B90" s="922">
        <f>'Sources and Uses Budget'!C89</f>
        <v>7500</v>
      </c>
      <c r="C90" s="922">
        <f>'Sources and Uses Budget'!C89</f>
        <v>7500</v>
      </c>
      <c r="D90" s="922">
        <f>'Sources and Uses Budget'!C89</f>
        <v>7500</v>
      </c>
      <c r="E90" s="923">
        <f t="shared" si="2"/>
        <v>0</v>
      </c>
      <c r="F90" s="924"/>
      <c r="G90" s="924"/>
    </row>
    <row r="91" spans="1:7" s="489" customFormat="1" ht="12.3">
      <c r="A91" s="216" t="s">
        <v>1748</v>
      </c>
      <c r="B91" s="922">
        <f>'Sources and Uses Budget'!C90</f>
        <v>15000</v>
      </c>
      <c r="C91" s="922">
        <f>'Sources and Uses Budget'!C90</f>
        <v>15000</v>
      </c>
      <c r="D91" s="922">
        <f>'Sources and Uses Budget'!C90</f>
        <v>15000</v>
      </c>
      <c r="E91" s="923">
        <f t="shared" si="2"/>
        <v>0</v>
      </c>
      <c r="F91" s="924"/>
      <c r="G91" s="924"/>
    </row>
    <row r="92" spans="1:7" s="489" customFormat="1" ht="12.3">
      <c r="A92" s="216" t="s">
        <v>1749</v>
      </c>
      <c r="B92" s="922">
        <f>'Sources and Uses Budget'!C91</f>
        <v>15000</v>
      </c>
      <c r="C92" s="922">
        <f>'Sources and Uses Budget'!C91</f>
        <v>15000</v>
      </c>
      <c r="D92" s="922">
        <f>'Sources and Uses Budget'!C91</f>
        <v>15000</v>
      </c>
      <c r="E92" s="923">
        <f t="shared" si="2"/>
        <v>0</v>
      </c>
      <c r="F92" s="924"/>
      <c r="G92" s="924"/>
    </row>
    <row r="93" spans="1:7" s="489" customFormat="1" ht="12.3">
      <c r="A93" s="212" t="s">
        <v>1701</v>
      </c>
      <c r="B93" s="922">
        <f>'Sources and Uses Budget'!C92</f>
        <v>140000</v>
      </c>
      <c r="C93" s="922">
        <f>'Sources and Uses Budget'!C92</f>
        <v>140000</v>
      </c>
      <c r="D93" s="922">
        <f>'Sources and Uses Budget'!C92</f>
        <v>140000</v>
      </c>
      <c r="E93" s="923">
        <f t="shared" si="2"/>
        <v>0</v>
      </c>
      <c r="F93" s="924"/>
      <c r="G93" s="924"/>
    </row>
    <row r="94" spans="1:7" s="489" customFormat="1" ht="12.3">
      <c r="A94" s="212" t="s">
        <v>1701</v>
      </c>
      <c r="B94" s="922">
        <f>'Sources and Uses Budget'!C93</f>
        <v>55000</v>
      </c>
      <c r="C94" s="922">
        <f>'Sources and Uses Budget'!C93</f>
        <v>55000</v>
      </c>
      <c r="D94" s="922">
        <f>'Sources and Uses Budget'!C93</f>
        <v>55000</v>
      </c>
      <c r="E94" s="923">
        <f t="shared" si="2"/>
        <v>0</v>
      </c>
      <c r="F94" s="924"/>
      <c r="G94" s="924"/>
    </row>
    <row r="95" spans="1:7" s="489" customFormat="1" ht="12.3">
      <c r="A95" s="212" t="s">
        <v>1701</v>
      </c>
      <c r="B95" s="922">
        <f>'Sources and Uses Budget'!C94</f>
        <v>13200</v>
      </c>
      <c r="C95" s="922">
        <f>'Sources and Uses Budget'!C94</f>
        <v>13200</v>
      </c>
      <c r="D95" s="922">
        <f>'Sources and Uses Budget'!C94</f>
        <v>13200</v>
      </c>
      <c r="E95" s="923">
        <f t="shared" si="2"/>
        <v>0</v>
      </c>
      <c r="F95" s="924"/>
      <c r="G95" s="924"/>
    </row>
    <row r="96" spans="1:7" s="489" customFormat="1" ht="12.3">
      <c r="A96" s="209" t="s">
        <v>1753</v>
      </c>
      <c r="B96" s="925">
        <f>'Sources and Uses Budget'!C95</f>
        <v>787700</v>
      </c>
      <c r="C96" s="925">
        <f>'Sources and Uses Budget'!C95</f>
        <v>787700</v>
      </c>
      <c r="D96" s="925">
        <f>'Sources and Uses Budget'!C95</f>
        <v>787700</v>
      </c>
      <c r="E96" s="923">
        <f t="shared" si="2"/>
        <v>0</v>
      </c>
      <c r="F96" s="924"/>
      <c r="G96" s="924"/>
    </row>
    <row r="97" spans="1:7" s="489" customFormat="1" ht="12.3">
      <c r="A97" s="209" t="s">
        <v>1754</v>
      </c>
      <c r="B97" s="925">
        <f>'Sources and Uses Budget'!C96</f>
        <v>20329000</v>
      </c>
      <c r="C97" s="925">
        <f>'Sources and Uses Budget'!C96</f>
        <v>20329000</v>
      </c>
      <c r="D97" s="925">
        <f>'Sources and Uses Budget'!C96</f>
        <v>20329000</v>
      </c>
      <c r="E97" s="923">
        <f t="shared" si="2"/>
        <v>0</v>
      </c>
      <c r="F97" s="924"/>
      <c r="G97" s="924"/>
    </row>
    <row r="98" spans="1:7" s="489" customFormat="1" ht="12.6">
      <c r="A98" s="790" t="s">
        <v>1755</v>
      </c>
      <c r="B98" s="275"/>
      <c r="C98" s="275"/>
      <c r="D98" s="275"/>
      <c r="E98" s="275"/>
      <c r="F98" s="275"/>
      <c r="G98" s="275"/>
    </row>
    <row r="99" spans="1:7" s="489" customFormat="1" ht="12.3">
      <c r="A99" s="205" t="s">
        <v>1756</v>
      </c>
      <c r="B99" s="922">
        <f>'Sources and Uses Budget'!C98</f>
        <v>2200000</v>
      </c>
      <c r="C99" s="922">
        <f>'Sources and Uses Budget'!C98</f>
        <v>2200000</v>
      </c>
      <c r="D99" s="922">
        <f>'Sources and Uses Budget'!C98</f>
        <v>2200000</v>
      </c>
      <c r="E99" s="923">
        <f t="shared" si="2"/>
        <v>0</v>
      </c>
      <c r="F99" s="924"/>
      <c r="G99" s="924"/>
    </row>
    <row r="100" spans="1:7" s="489" customFormat="1" ht="12" customHeight="1">
      <c r="A100" s="205" t="s">
        <v>2515</v>
      </c>
      <c r="B100" s="922">
        <f>'Sources and Uses Budget'!C99</f>
        <v>0</v>
      </c>
      <c r="C100" s="922">
        <f>'Sources and Uses Budget'!C99</f>
        <v>0</v>
      </c>
      <c r="D100" s="922">
        <f>'Sources and Uses Budget'!C99</f>
        <v>0</v>
      </c>
      <c r="E100" s="923">
        <f t="shared" si="2"/>
        <v>0</v>
      </c>
      <c r="F100" s="924"/>
      <c r="G100" s="924"/>
    </row>
    <row r="101" spans="1:7" s="489" customFormat="1" ht="12.3">
      <c r="A101" s="205" t="s">
        <v>1758</v>
      </c>
      <c r="B101" s="922">
        <f>'Sources and Uses Budget'!C100</f>
        <v>0</v>
      </c>
      <c r="C101" s="922">
        <f>'Sources and Uses Budget'!C100</f>
        <v>0</v>
      </c>
      <c r="D101" s="922">
        <f>'Sources and Uses Budget'!C100</f>
        <v>0</v>
      </c>
      <c r="E101" s="923">
        <f t="shared" si="2"/>
        <v>0</v>
      </c>
      <c r="F101" s="924"/>
      <c r="G101" s="924"/>
    </row>
    <row r="102" spans="1:7" s="489" customFormat="1" ht="12.3">
      <c r="A102" s="205" t="s">
        <v>2516</v>
      </c>
      <c r="B102" s="922">
        <f>'Sources and Uses Budget'!C101</f>
        <v>0</v>
      </c>
      <c r="C102" s="922">
        <f>'Sources and Uses Budget'!C101</f>
        <v>0</v>
      </c>
      <c r="D102" s="922">
        <f>'Sources and Uses Budget'!C101</f>
        <v>0</v>
      </c>
      <c r="E102" s="923">
        <f t="shared" si="2"/>
        <v>0</v>
      </c>
      <c r="F102" s="924"/>
      <c r="G102" s="924"/>
    </row>
    <row r="103" spans="1:7" s="489" customFormat="1" ht="12.3">
      <c r="A103" s="796" t="s">
        <v>1701</v>
      </c>
      <c r="B103" s="922">
        <f>'Sources and Uses Budget'!C102</f>
        <v>0</v>
      </c>
      <c r="C103" s="922">
        <f>'Sources and Uses Budget'!C102</f>
        <v>0</v>
      </c>
      <c r="D103" s="922">
        <f>'Sources and Uses Budget'!C102</f>
        <v>0</v>
      </c>
      <c r="E103" s="923">
        <f t="shared" si="2"/>
        <v>0</v>
      </c>
      <c r="F103" s="924"/>
      <c r="G103" s="924"/>
    </row>
    <row r="104" spans="1:7" s="489" customFormat="1" ht="12.3">
      <c r="A104" s="794" t="s">
        <v>1760</v>
      </c>
      <c r="B104" s="925">
        <f>'Sources and Uses Budget'!C103</f>
        <v>2200000</v>
      </c>
      <c r="C104" s="925">
        <f>'Sources and Uses Budget'!C103</f>
        <v>2200000</v>
      </c>
      <c r="D104" s="925">
        <f>'Sources and Uses Budget'!C103</f>
        <v>2200000</v>
      </c>
      <c r="E104" s="923">
        <f t="shared" si="2"/>
        <v>0</v>
      </c>
      <c r="F104" s="924"/>
      <c r="G104" s="924"/>
    </row>
    <row r="105" spans="1:7" s="489" customFormat="1" ht="12.3">
      <c r="A105" s="794" t="s">
        <v>2517</v>
      </c>
      <c r="B105" s="925">
        <f>'Sources and Uses Budget'!C104</f>
        <v>22529000</v>
      </c>
      <c r="C105" s="925">
        <f>'Sources and Uses Budget'!C104</f>
        <v>22529000</v>
      </c>
      <c r="D105" s="925">
        <f>'Sources and Uses Budget'!C104</f>
        <v>22529000</v>
      </c>
      <c r="E105" s="923">
        <f t="shared" si="2"/>
        <v>0</v>
      </c>
      <c r="F105" s="924"/>
      <c r="G105" s="926"/>
    </row>
    <row r="106" spans="1:7" s="489" customFormat="1" ht="12.3">
      <c r="A106" s="279" t="s">
        <v>2518</v>
      </c>
      <c r="B106" s="912"/>
      <c r="C106" s="927"/>
      <c r="D106" s="928"/>
      <c r="E106" s="929"/>
      <c r="F106" s="930"/>
      <c r="G106" s="93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3" zeroHeight="1"/>
  <cols>
    <col min="1" max="10" width="9.1640625" customWidth="1"/>
    <col min="11" max="16384" width="8.71875" hidden="1"/>
  </cols>
  <sheetData>
    <row r="1" spans="1:10" ht="14.25" customHeight="1"/>
    <row r="2" spans="1:10" ht="15">
      <c r="A2" s="949" t="s">
        <v>307</v>
      </c>
      <c r="B2" s="950"/>
      <c r="C2" s="950"/>
      <c r="D2" s="950"/>
      <c r="E2" s="950"/>
      <c r="F2" s="950"/>
      <c r="G2" s="950"/>
      <c r="H2" s="950"/>
      <c r="I2" s="950"/>
      <c r="J2" s="950"/>
    </row>
    <row r="3" spans="1:10" ht="15">
      <c r="A3" s="951" t="s">
        <v>308</v>
      </c>
      <c r="B3" s="950"/>
      <c r="C3" s="950"/>
      <c r="D3" s="950"/>
      <c r="E3" s="950"/>
      <c r="F3" s="950"/>
      <c r="G3" s="950"/>
      <c r="H3" s="950"/>
      <c r="I3" s="950"/>
      <c r="J3" s="950"/>
    </row>
    <row r="4" spans="1:10"/>
    <row r="5" spans="1:10" ht="12.75" customHeight="1">
      <c r="A5" s="955" t="s">
        <v>309</v>
      </c>
      <c r="B5" s="955"/>
      <c r="C5" s="955"/>
      <c r="D5" s="955"/>
      <c r="E5" s="955"/>
      <c r="F5" s="955"/>
      <c r="G5" s="955"/>
      <c r="H5" s="955"/>
      <c r="I5" s="955"/>
      <c r="J5" s="955"/>
    </row>
    <row r="6" spans="1:10">
      <c r="A6" s="955"/>
      <c r="B6" s="955"/>
      <c r="C6" s="955"/>
      <c r="D6" s="955"/>
      <c r="E6" s="955"/>
      <c r="F6" s="955"/>
      <c r="G6" s="955"/>
      <c r="H6" s="955"/>
      <c r="I6" s="955"/>
      <c r="J6" s="955"/>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41" customFormat="1">
      <c r="A10" s="941" t="s">
        <v>311</v>
      </c>
    </row>
    <row r="11" spans="1:10" s="941" customFormat="1" ht="12.75" customHeight="1"/>
    <row r="12" spans="1:10" s="941" customFormat="1" ht="12.75" customHeight="1"/>
    <row r="13" spans="1:10" s="941" customFormat="1" ht="12.75" customHeight="1"/>
    <row r="14" spans="1:10" s="941" customFormat="1" ht="12.75" customHeight="1"/>
    <row r="15" spans="1:10"/>
    <row r="16" spans="1:10" ht="12.75" customHeight="1">
      <c r="A16" s="952" t="s">
        <v>312</v>
      </c>
      <c r="B16" s="952"/>
      <c r="C16" s="952"/>
      <c r="D16" s="952"/>
      <c r="E16" s="952"/>
      <c r="F16" s="952"/>
      <c r="G16" s="952"/>
      <c r="H16" s="952"/>
      <c r="I16" s="952"/>
      <c r="J16" s="952"/>
    </row>
    <row r="17" spans="1:10" ht="12.75" customHeight="1">
      <c r="A17" s="952"/>
      <c r="B17" s="952"/>
      <c r="C17" s="952"/>
      <c r="D17" s="952"/>
      <c r="E17" s="952"/>
      <c r="F17" s="952"/>
      <c r="G17" s="952"/>
      <c r="H17" s="952"/>
      <c r="I17" s="952"/>
      <c r="J17" s="952"/>
    </row>
    <row r="18" spans="1:10">
      <c r="A18" s="952"/>
      <c r="B18" s="952"/>
      <c r="C18" s="952"/>
      <c r="D18" s="952"/>
      <c r="E18" s="952"/>
      <c r="F18" s="952"/>
      <c r="G18" s="952"/>
      <c r="H18" s="952"/>
      <c r="I18" s="952"/>
      <c r="J18" s="952"/>
    </row>
    <row r="19" spans="1:10">
      <c r="A19" s="953"/>
      <c r="B19" s="953"/>
      <c r="C19" s="953"/>
      <c r="D19" s="953"/>
      <c r="E19" s="953"/>
      <c r="F19" s="953"/>
      <c r="G19" s="953"/>
      <c r="H19" s="953"/>
      <c r="I19" s="953"/>
      <c r="J19" s="953"/>
    </row>
    <row r="20" spans="1:10">
      <c r="A20" s="953"/>
      <c r="B20" s="953"/>
      <c r="C20" s="953"/>
      <c r="D20" s="953"/>
      <c r="E20" s="953"/>
      <c r="F20" s="953"/>
      <c r="G20" s="953"/>
      <c r="H20" s="953"/>
      <c r="I20" s="953"/>
      <c r="J20" s="953"/>
    </row>
    <row r="21" spans="1:10">
      <c r="A21" s="953"/>
      <c r="B21" s="953"/>
      <c r="C21" s="953"/>
      <c r="D21" s="953"/>
      <c r="E21" s="953"/>
      <c r="F21" s="953"/>
      <c r="G21" s="953"/>
      <c r="H21" s="953"/>
      <c r="I21" s="953"/>
      <c r="J21" s="953"/>
    </row>
    <row r="22" spans="1:10">
      <c r="A22" s="37" t="s">
        <v>313</v>
      </c>
      <c r="B22" s="258"/>
      <c r="C22" s="258"/>
      <c r="D22" s="258"/>
      <c r="E22" s="258"/>
      <c r="F22" s="258"/>
      <c r="G22" s="258"/>
      <c r="H22" s="258"/>
      <c r="I22" s="258"/>
      <c r="J22" s="258"/>
    </row>
    <row r="23" spans="1:10" ht="14.4">
      <c r="A23" s="721" t="s">
        <v>249</v>
      </c>
      <c r="B23" s="721"/>
      <c r="C23" s="721"/>
      <c r="D23" s="721"/>
      <c r="E23" s="721"/>
      <c r="F23" s="721"/>
      <c r="G23" s="721"/>
      <c r="H23" s="721"/>
      <c r="I23" s="721"/>
      <c r="J23" s="839"/>
    </row>
    <row r="24" spans="1:10">
      <c r="A24" s="954" t="s">
        <v>314</v>
      </c>
      <c r="B24" s="950"/>
      <c r="C24" s="950"/>
      <c r="D24" s="950"/>
      <c r="E24" s="95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2" t="s">
        <v>315</v>
      </c>
      <c r="B61" s="953"/>
      <c r="C61" s="953"/>
      <c r="D61" s="953"/>
      <c r="E61" s="953"/>
      <c r="F61" s="953"/>
      <c r="G61" s="953"/>
      <c r="H61" s="953"/>
      <c r="I61" s="953"/>
      <c r="J61" s="953"/>
    </row>
    <row r="62" spans="1:10">
      <c r="A62" s="953"/>
      <c r="B62" s="953"/>
      <c r="C62" s="953"/>
      <c r="D62" s="953"/>
      <c r="E62" s="953"/>
      <c r="F62" s="953"/>
      <c r="G62" s="953"/>
      <c r="H62" s="953"/>
      <c r="I62" s="953"/>
      <c r="J62" s="953"/>
    </row>
    <row r="63" spans="1:10">
      <c r="A63" s="953"/>
      <c r="B63" s="953"/>
      <c r="C63" s="953"/>
      <c r="D63" s="953"/>
      <c r="E63" s="953"/>
      <c r="F63" s="953"/>
      <c r="G63" s="953"/>
      <c r="H63" s="953"/>
      <c r="I63" s="953"/>
      <c r="J63" s="953"/>
    </row>
    <row r="64" spans="1:10"/>
    <row r="65" spans="1:9">
      <c r="A65" s="37" t="s">
        <v>314</v>
      </c>
    </row>
    <row r="66" spans="1:9"/>
    <row r="67" spans="1:9"/>
    <row r="68" spans="1:9"/>
    <row r="69" spans="1:9"/>
    <row r="70" spans="1:9"/>
    <row r="71" spans="1:9"/>
    <row r="72" spans="1:9"/>
    <row r="73" spans="1:9"/>
    <row r="74" spans="1:9"/>
    <row r="75" spans="1:9"/>
    <row r="76" spans="1:9">
      <c r="A76" s="948" t="s">
        <v>316</v>
      </c>
      <c r="B76" s="948"/>
      <c r="C76" s="948"/>
      <c r="D76" s="948"/>
      <c r="E76" s="948"/>
      <c r="F76" s="948"/>
      <c r="G76" s="948"/>
      <c r="H76" s="948"/>
      <c r="I76" s="948"/>
    </row>
    <row r="77" spans="1:9">
      <c r="A77" s="947" t="s">
        <v>317</v>
      </c>
      <c r="B77" s="947"/>
      <c r="C77" s="947"/>
      <c r="D77" s="947"/>
      <c r="E77" s="947"/>
      <c r="F77" s="582"/>
    </row>
    <row r="78" spans="1:9">
      <c r="A78" s="947" t="s">
        <v>318</v>
      </c>
      <c r="B78" s="947"/>
      <c r="C78" s="947"/>
      <c r="D78" s="947"/>
      <c r="E78" s="947"/>
      <c r="F78" s="582"/>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44" zoomScale="140" zoomScaleNormal="140" workbookViewId="0">
      <selection activeCell="D1234" sqref="D1234:F1236"/>
    </sheetView>
  </sheetViews>
  <sheetFormatPr defaultColWidth="0" defaultRowHeight="14.1"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27734375" style="5" customWidth="1"/>
    <col min="8" max="8" width="2.44140625" hidden="1" customWidth="1"/>
    <col min="9" max="9" width="14" hidden="1" customWidth="1"/>
    <col min="10" max="16383" width="8.71875" hidden="1"/>
    <col min="16384" max="16384" width="0.27734375" hidden="1" customWidth="1"/>
  </cols>
  <sheetData>
    <row r="1" spans="1:9" ht="14.1" customHeight="1">
      <c r="A1" s="414"/>
      <c r="B1" s="414"/>
      <c r="C1" s="414"/>
      <c r="D1" s="37"/>
      <c r="E1" s="37"/>
      <c r="F1" s="37"/>
      <c r="G1" s="37"/>
    </row>
    <row r="2" spans="1:9" ht="12.3">
      <c r="A2" s="978" t="s">
        <v>319</v>
      </c>
      <c r="B2" s="978"/>
      <c r="C2" s="950"/>
      <c r="D2" s="950"/>
      <c r="E2" s="950"/>
      <c r="F2" s="950"/>
      <c r="G2" s="950"/>
      <c r="I2" t="s">
        <v>320</v>
      </c>
    </row>
    <row r="3" spans="1:9" ht="12.3">
      <c r="A3" s="167"/>
      <c r="B3" s="167"/>
      <c r="C3"/>
      <c r="D3"/>
      <c r="E3"/>
      <c r="F3"/>
      <c r="G3"/>
      <c r="I3" s="37" t="s">
        <v>321</v>
      </c>
    </row>
    <row r="4" spans="1:9" ht="12.3">
      <c r="A4" s="979" t="s">
        <v>322</v>
      </c>
      <c r="B4" s="979"/>
      <c r="C4" s="980"/>
      <c r="D4" s="980"/>
      <c r="E4" s="980"/>
      <c r="F4" s="980"/>
      <c r="G4" s="980"/>
      <c r="I4" s="37" t="s">
        <v>323</v>
      </c>
    </row>
    <row r="5" spans="1:9" ht="12.3">
      <c r="A5" s="979" t="s">
        <v>324</v>
      </c>
      <c r="B5" s="979"/>
      <c r="C5" s="980"/>
      <c r="D5" s="980"/>
      <c r="E5" s="980"/>
      <c r="F5" s="980"/>
      <c r="G5" s="980"/>
      <c r="I5" t="s">
        <v>325</v>
      </c>
    </row>
    <row r="6" spans="1:9" ht="14.1" customHeight="1">
      <c r="A6" s="414"/>
      <c r="B6" s="414"/>
      <c r="C6" s="414"/>
      <c r="D6" s="37"/>
      <c r="E6" s="37"/>
      <c r="F6" s="37"/>
      <c r="G6" s="37"/>
    </row>
    <row r="7" spans="1:9" ht="12.3">
      <c r="A7" s="978" t="s">
        <v>326</v>
      </c>
      <c r="B7" s="978"/>
      <c r="C7" s="981"/>
      <c r="D7" s="981"/>
      <c r="E7" s="981"/>
      <c r="F7" s="981"/>
      <c r="G7" s="981"/>
    </row>
    <row r="8" spans="1:9" ht="12.3">
      <c r="A8" s="978" t="s">
        <v>327</v>
      </c>
      <c r="B8" s="978"/>
      <c r="C8" s="981"/>
      <c r="D8" s="981"/>
      <c r="E8" s="981"/>
      <c r="F8" s="981"/>
      <c r="G8" s="981"/>
    </row>
    <row r="9" spans="1:9" ht="12.3">
      <c r="A9" s="169"/>
      <c r="B9" s="169"/>
      <c r="C9" s="167"/>
      <c r="D9" s="167"/>
      <c r="E9" s="167"/>
      <c r="F9" s="167"/>
      <c r="G9" s="167"/>
    </row>
    <row r="10" spans="1:9" ht="12.3">
      <c r="A10" s="964" t="s">
        <v>328</v>
      </c>
      <c r="B10" s="964"/>
      <c r="C10" s="964"/>
      <c r="D10" s="964"/>
      <c r="E10" s="964"/>
      <c r="F10" s="964"/>
      <c r="G10" s="964"/>
    </row>
    <row r="11" spans="1:9" ht="12.3">
      <c r="A11" s="167"/>
      <c r="B11" s="167"/>
      <c r="C11" s="414"/>
      <c r="D11" s="37"/>
      <c r="E11" s="37"/>
      <c r="F11" s="37"/>
      <c r="G11" s="37"/>
    </row>
    <row r="12" spans="1:9" ht="14.1" customHeight="1">
      <c r="A12" s="414"/>
      <c r="B12" s="414"/>
      <c r="C12" s="167"/>
      <c r="D12" s="982" t="s">
        <v>329</v>
      </c>
      <c r="E12" s="982"/>
      <c r="F12" s="982"/>
      <c r="G12" s="530"/>
    </row>
    <row r="13" spans="1:9" ht="12.3">
      <c r="A13" s="414"/>
      <c r="B13" s="414"/>
      <c r="C13" s="167"/>
      <c r="D13" s="982"/>
      <c r="E13" s="982"/>
      <c r="F13" s="982"/>
      <c r="G13" s="530"/>
    </row>
    <row r="14" spans="1:9" ht="12.3">
      <c r="A14" s="168"/>
      <c r="B14" s="168"/>
      <c r="C14" s="168"/>
      <c r="D14" s="960" t="s">
        <v>330</v>
      </c>
      <c r="E14" s="960"/>
      <c r="F14" s="960"/>
      <c r="G14" s="37"/>
    </row>
    <row r="15" spans="1:9" ht="12.3">
      <c r="A15" s="168"/>
      <c r="B15" s="168"/>
      <c r="C15" s="168"/>
      <c r="D15" s="37"/>
      <c r="E15" s="37"/>
      <c r="F15" s="37"/>
      <c r="G15" s="37"/>
    </row>
    <row r="16" spans="1:9" ht="14.85" customHeight="1">
      <c r="A16" s="233"/>
      <c r="B16" s="529" t="s">
        <v>325</v>
      </c>
      <c r="C16" s="168"/>
      <c r="D16" s="938" t="s">
        <v>331</v>
      </c>
      <c r="E16" s="938"/>
      <c r="F16" s="938"/>
      <c r="G16" s="721"/>
    </row>
    <row r="17" spans="1:7" ht="14.85" customHeight="1">
      <c r="A17" s="233"/>
      <c r="B17" s="414"/>
      <c r="C17" s="168"/>
      <c r="D17" s="938"/>
      <c r="E17" s="938"/>
      <c r="F17" s="938"/>
      <c r="G17" s="721"/>
    </row>
    <row r="18" spans="1:7" ht="12.3">
      <c r="A18" s="168"/>
      <c r="B18" s="414"/>
      <c r="C18" s="168"/>
      <c r="D18" s="938"/>
      <c r="E18" s="938"/>
      <c r="F18" s="938"/>
      <c r="G18" s="721"/>
    </row>
    <row r="19" spans="1:7" ht="12.3">
      <c r="A19" s="168"/>
      <c r="B19" s="414"/>
      <c r="C19" s="168"/>
      <c r="D19" s="178"/>
      <c r="E19" s="107" t="s">
        <v>332</v>
      </c>
      <c r="F19" s="178"/>
      <c r="G19" s="721"/>
    </row>
    <row r="20" spans="1:7" ht="12.3">
      <c r="A20" s="168"/>
      <c r="B20" s="168"/>
      <c r="C20" s="168"/>
      <c r="D20" s="37"/>
      <c r="E20" s="37"/>
      <c r="F20" s="37"/>
      <c r="G20" s="37"/>
    </row>
    <row r="21" spans="1:7" ht="12.3">
      <c r="A21" s="233"/>
      <c r="B21" s="529" t="s">
        <v>323</v>
      </c>
      <c r="C21" s="414"/>
      <c r="D21" s="938" t="s">
        <v>333</v>
      </c>
      <c r="E21" s="938"/>
      <c r="F21" s="938"/>
      <c r="G21" s="37"/>
    </row>
    <row r="22" spans="1:7" ht="12.3">
      <c r="A22" s="414"/>
      <c r="B22" s="414"/>
      <c r="C22" s="414"/>
      <c r="D22" s="938"/>
      <c r="E22" s="938"/>
      <c r="F22" s="938"/>
      <c r="G22" s="37"/>
    </row>
    <row r="23" spans="1:7" ht="12.3">
      <c r="A23" s="414"/>
      <c r="B23" s="414"/>
      <c r="C23" s="414"/>
      <c r="D23" s="266"/>
      <c r="E23" s="84" t="s">
        <v>334</v>
      </c>
      <c r="F23" s="266"/>
      <c r="G23" s="37"/>
    </row>
    <row r="24" spans="1:7" ht="12.3">
      <c r="A24" s="233"/>
      <c r="B24" s="233"/>
      <c r="C24" s="414"/>
      <c r="D24" s="232"/>
      <c r="E24" s="37"/>
      <c r="F24" s="37"/>
      <c r="G24" s="37"/>
    </row>
    <row r="25" spans="1:7" ht="12.3">
      <c r="A25" s="233"/>
      <c r="B25" s="529" t="s">
        <v>325</v>
      </c>
      <c r="C25" s="414"/>
      <c r="D25" s="938" t="s">
        <v>335</v>
      </c>
      <c r="E25" s="938"/>
      <c r="F25" s="938"/>
      <c r="G25" s="37"/>
    </row>
    <row r="26" spans="1:7" ht="12.3">
      <c r="A26" s="233"/>
      <c r="B26" s="233"/>
      <c r="C26" s="414"/>
      <c r="D26" s="938"/>
      <c r="E26" s="938"/>
      <c r="F26" s="938"/>
      <c r="G26" s="37"/>
    </row>
    <row r="27" spans="1:7" ht="12.3">
      <c r="A27" s="233"/>
      <c r="B27" s="233"/>
      <c r="C27" s="414"/>
      <c r="D27" s="232"/>
      <c r="E27" s="37"/>
      <c r="F27" s="37"/>
      <c r="G27" s="37"/>
    </row>
    <row r="28" spans="1:7" ht="14.25" customHeight="1">
      <c r="A28" s="233"/>
      <c r="B28" s="529" t="s">
        <v>323</v>
      </c>
      <c r="C28" s="414"/>
      <c r="D28" s="938" t="s">
        <v>336</v>
      </c>
      <c r="E28" s="938"/>
      <c r="F28" s="938"/>
      <c r="G28" s="37"/>
    </row>
    <row r="29" spans="1:7" ht="12.3">
      <c r="A29" s="233"/>
      <c r="B29" s="233"/>
      <c r="C29" s="414"/>
      <c r="D29" s="938"/>
      <c r="E29" s="938"/>
      <c r="F29" s="938"/>
      <c r="G29" s="37"/>
    </row>
    <row r="30" spans="1:7" ht="12.3">
      <c r="A30" s="233"/>
      <c r="B30" s="233"/>
      <c r="C30" s="414"/>
      <c r="D30" s="938"/>
      <c r="E30" s="938"/>
      <c r="F30" s="938"/>
      <c r="G30" s="37"/>
    </row>
    <row r="31" spans="1:7" ht="12.3">
      <c r="A31" s="233"/>
      <c r="B31" s="233"/>
      <c r="C31" s="414"/>
      <c r="D31" s="938"/>
      <c r="E31" s="938"/>
      <c r="F31" s="938"/>
      <c r="G31" s="37"/>
    </row>
    <row r="32" spans="1:7" ht="12.3">
      <c r="A32" s="233"/>
      <c r="B32" s="233"/>
      <c r="C32" s="414"/>
      <c r="D32" s="938"/>
      <c r="E32" s="938"/>
      <c r="F32" s="938"/>
      <c r="G32" s="37"/>
    </row>
    <row r="33" spans="1:6" ht="12.9">
      <c r="A33" s="233"/>
      <c r="B33" s="233"/>
      <c r="C33" s="414"/>
      <c r="D33" s="497"/>
      <c r="E33" s="37"/>
      <c r="F33" s="531"/>
    </row>
    <row r="34" spans="1:6" ht="14.85" customHeight="1">
      <c r="A34" s="233"/>
      <c r="B34" s="529" t="s">
        <v>323</v>
      </c>
      <c r="C34" s="414"/>
      <c r="D34" s="938" t="s">
        <v>337</v>
      </c>
      <c r="E34" s="938"/>
      <c r="F34" s="938"/>
    </row>
    <row r="35" spans="1:6" ht="12.3">
      <c r="A35" s="233"/>
      <c r="B35" s="233"/>
      <c r="C35" s="414"/>
      <c r="D35" s="938"/>
      <c r="E35" s="938"/>
      <c r="F35" s="938"/>
    </row>
    <row r="36" spans="1:6" ht="12.3">
      <c r="A36" s="233"/>
      <c r="B36" s="233"/>
      <c r="C36" s="414"/>
      <c r="D36" s="684"/>
      <c r="E36" s="684"/>
      <c r="F36" s="684"/>
    </row>
    <row r="37" spans="1:6" ht="12.3">
      <c r="A37" s="233"/>
      <c r="B37" s="529" t="s">
        <v>323</v>
      </c>
      <c r="C37" s="414"/>
      <c r="D37" s="938" t="s">
        <v>338</v>
      </c>
      <c r="E37" s="938"/>
      <c r="F37" s="938"/>
    </row>
    <row r="38" spans="1:6" ht="12.3">
      <c r="A38" s="233"/>
      <c r="B38" s="233"/>
      <c r="C38" s="414"/>
      <c r="D38" s="938"/>
      <c r="E38" s="938"/>
      <c r="F38" s="938"/>
    </row>
    <row r="39" spans="1:6" ht="12.3">
      <c r="A39" s="233"/>
      <c r="B39" s="233"/>
      <c r="C39" s="414"/>
      <c r="D39" s="938"/>
      <c r="E39" s="938"/>
      <c r="F39" s="938"/>
    </row>
    <row r="40" spans="1:6" ht="12.3">
      <c r="A40" s="233"/>
      <c r="B40" s="233"/>
      <c r="C40" s="414"/>
      <c r="D40" s="938"/>
      <c r="E40" s="938"/>
      <c r="F40" s="938"/>
    </row>
    <row r="41" spans="1:6" ht="12.3">
      <c r="A41" s="233"/>
      <c r="B41" s="233"/>
      <c r="C41" s="414"/>
      <c r="D41" s="938"/>
      <c r="E41" s="938"/>
      <c r="F41" s="938"/>
    </row>
    <row r="42" spans="1:6" ht="12.3">
      <c r="A42" s="233"/>
      <c r="B42" s="233"/>
      <c r="C42" s="414"/>
      <c r="D42" s="938"/>
      <c r="E42" s="938"/>
      <c r="F42" s="938"/>
    </row>
    <row r="43" spans="1:6" ht="12.3">
      <c r="A43" s="233"/>
      <c r="B43" s="233"/>
      <c r="C43" s="414"/>
      <c r="D43" s="938"/>
      <c r="E43" s="938"/>
      <c r="F43" s="938"/>
    </row>
    <row r="44" spans="1:6" ht="12.3">
      <c r="A44" s="233"/>
      <c r="B44" s="233"/>
      <c r="C44" s="414"/>
      <c r="D44" s="938"/>
      <c r="E44" s="938"/>
      <c r="F44" s="938"/>
    </row>
    <row r="45" spans="1:6" ht="12.3">
      <c r="A45" s="233"/>
      <c r="B45" s="233"/>
      <c r="C45" s="414"/>
      <c r="D45" s="178"/>
      <c r="E45" s="178"/>
      <c r="F45" s="178"/>
    </row>
    <row r="46" spans="1:6" ht="14.85" customHeight="1">
      <c r="A46" s="233"/>
      <c r="B46" s="529" t="s">
        <v>323</v>
      </c>
      <c r="C46" s="414"/>
      <c r="D46" s="938" t="s">
        <v>339</v>
      </c>
      <c r="E46" s="938"/>
      <c r="F46" s="938"/>
    </row>
    <row r="47" spans="1:6" ht="12.3">
      <c r="A47" s="233"/>
      <c r="B47" s="233"/>
      <c r="C47" s="414"/>
      <c r="D47" s="938"/>
      <c r="E47" s="938"/>
      <c r="F47" s="938"/>
    </row>
    <row r="48" spans="1:6" ht="12.3">
      <c r="A48" s="233"/>
      <c r="B48" s="233"/>
      <c r="C48" s="414"/>
      <c r="D48" s="938"/>
      <c r="E48" s="938"/>
      <c r="F48" s="938"/>
    </row>
    <row r="49" spans="1:6" ht="12.3">
      <c r="A49" s="233"/>
      <c r="B49" s="233"/>
      <c r="C49" s="414"/>
      <c r="D49" s="938"/>
      <c r="E49" s="938"/>
      <c r="F49" s="938"/>
    </row>
    <row r="50" spans="1:6" ht="12.3">
      <c r="A50" s="233"/>
      <c r="B50" s="233"/>
      <c r="C50" s="414"/>
      <c r="D50" s="938"/>
      <c r="E50" s="938"/>
      <c r="F50" s="938"/>
    </row>
    <row r="51" spans="1:6" ht="12.3">
      <c r="A51" s="233"/>
      <c r="B51" s="233"/>
      <c r="C51" s="414"/>
      <c r="D51" s="232"/>
      <c r="E51" s="37"/>
      <c r="F51" s="37"/>
    </row>
    <row r="52" spans="1:6" ht="12.3">
      <c r="A52" s="233"/>
      <c r="B52" s="529" t="s">
        <v>323</v>
      </c>
      <c r="C52" s="414"/>
      <c r="D52" s="938" t="s">
        <v>340</v>
      </c>
      <c r="E52" s="938"/>
      <c r="F52" s="938"/>
    </row>
    <row r="53" spans="1:6" ht="12.3">
      <c r="A53" s="233"/>
      <c r="B53" s="233"/>
      <c r="C53" s="414"/>
      <c r="D53" s="938"/>
      <c r="E53" s="938"/>
      <c r="F53" s="938"/>
    </row>
    <row r="54" spans="1:6" ht="12.3">
      <c r="A54" s="233"/>
      <c r="B54" s="233"/>
      <c r="C54" s="414"/>
      <c r="D54" s="938"/>
      <c r="E54" s="938"/>
      <c r="F54" s="938"/>
    </row>
    <row r="55" spans="1:6" ht="12.3">
      <c r="A55" s="233"/>
      <c r="B55" s="233"/>
      <c r="C55" s="414"/>
      <c r="D55" s="938"/>
      <c r="E55" s="938"/>
      <c r="F55" s="938"/>
    </row>
    <row r="56" spans="1:6" ht="12.3">
      <c r="A56" s="233"/>
      <c r="B56" s="233"/>
      <c r="C56" s="414"/>
      <c r="D56" s="938"/>
      <c r="E56" s="938"/>
      <c r="F56" s="938"/>
    </row>
    <row r="57" spans="1:6" ht="15" customHeight="1">
      <c r="A57" s="233"/>
      <c r="B57" s="233"/>
      <c r="C57" s="414"/>
      <c r="D57" s="938"/>
      <c r="E57" s="938"/>
      <c r="F57" s="938"/>
    </row>
    <row r="58" spans="1:6" ht="12.3">
      <c r="A58" s="233"/>
      <c r="B58" s="233"/>
      <c r="C58" s="414"/>
      <c r="D58"/>
      <c r="E58" s="37"/>
      <c r="F58" s="37"/>
    </row>
    <row r="59" spans="1:6" ht="12.3">
      <c r="A59" s="233"/>
      <c r="B59" s="529" t="s">
        <v>325</v>
      </c>
      <c r="C59" s="414"/>
      <c r="D59" s="938" t="s">
        <v>341</v>
      </c>
      <c r="E59" s="938"/>
      <c r="F59" s="938"/>
    </row>
    <row r="60" spans="1:6" ht="12.3">
      <c r="A60" s="233"/>
      <c r="B60" s="233"/>
      <c r="C60" s="414"/>
      <c r="D60" s="938"/>
      <c r="E60" s="938"/>
      <c r="F60" s="938"/>
    </row>
    <row r="61" spans="1:6" ht="12.3">
      <c r="A61" s="233"/>
      <c r="B61" s="233"/>
      <c r="C61" s="414"/>
      <c r="D61" s="938"/>
      <c r="E61" s="938"/>
      <c r="F61" s="938"/>
    </row>
    <row r="62" spans="1:6" ht="12.3">
      <c r="A62" s="233"/>
      <c r="B62" s="233"/>
      <c r="C62" s="414"/>
      <c r="D62" s="938"/>
      <c r="E62" s="938"/>
      <c r="F62" s="938"/>
    </row>
    <row r="63" spans="1:6" ht="17.25" customHeight="1">
      <c r="A63" s="233"/>
      <c r="B63" s="233"/>
      <c r="C63" s="414"/>
      <c r="D63" s="938"/>
      <c r="E63" s="938"/>
      <c r="F63" s="938"/>
    </row>
    <row r="64" spans="1:6" ht="14.25" customHeight="1">
      <c r="A64" s="233"/>
      <c r="B64" s="529" t="s">
        <v>325</v>
      </c>
      <c r="C64" s="414"/>
      <c r="D64" s="938" t="s">
        <v>342</v>
      </c>
      <c r="E64" s="938"/>
      <c r="F64" s="938"/>
    </row>
    <row r="65" spans="1:6" ht="15" customHeight="1">
      <c r="A65" s="233"/>
      <c r="B65" s="233"/>
      <c r="C65" s="414"/>
      <c r="D65" s="938"/>
      <c r="E65" s="938"/>
      <c r="F65" s="938"/>
    </row>
    <row r="66" spans="1:6" ht="21.6" customHeight="1">
      <c r="A66" s="233"/>
      <c r="B66" s="233"/>
      <c r="C66" s="414"/>
      <c r="D66" s="938"/>
      <c r="E66" s="938"/>
      <c r="F66" s="938"/>
    </row>
    <row r="67" spans="1:6" ht="12.3">
      <c r="A67" s="233"/>
      <c r="B67" s="233"/>
      <c r="C67" s="414"/>
      <c r="D67" s="37"/>
      <c r="E67" s="37"/>
      <c r="F67" s="37"/>
    </row>
    <row r="68" spans="1:6" ht="14.25" customHeight="1">
      <c r="A68" s="233"/>
      <c r="B68" s="529" t="s">
        <v>323</v>
      </c>
      <c r="C68" s="414"/>
      <c r="D68" s="938" t="s">
        <v>343</v>
      </c>
      <c r="E68" s="938"/>
      <c r="F68" s="938"/>
    </row>
    <row r="69" spans="1:6" ht="12.3">
      <c r="A69" s="414"/>
      <c r="B69" s="414"/>
      <c r="C69" s="414"/>
      <c r="D69" s="938"/>
      <c r="E69" s="938"/>
      <c r="F69" s="938"/>
    </row>
    <row r="70" spans="1:6" ht="12.3">
      <c r="A70" s="414"/>
      <c r="B70" s="414"/>
      <c r="C70" s="414"/>
      <c r="D70" s="938"/>
      <c r="E70" s="938"/>
      <c r="F70" s="938"/>
    </row>
    <row r="71" spans="1:6" ht="12.3">
      <c r="A71" s="233"/>
      <c r="B71" s="233"/>
      <c r="C71" s="414"/>
      <c r="D71" s="684"/>
      <c r="E71" s="107" t="s">
        <v>332</v>
      </c>
      <c r="F71" s="684"/>
    </row>
    <row r="72" spans="1:6" ht="12.3">
      <c r="A72" s="233"/>
      <c r="B72" s="233"/>
      <c r="C72" s="414"/>
      <c r="D72" s="37"/>
      <c r="E72" s="37"/>
      <c r="F72" s="37"/>
    </row>
    <row r="73" spans="1:6" ht="12.3">
      <c r="A73" s="233"/>
      <c r="B73" s="529" t="s">
        <v>325</v>
      </c>
      <c r="C73" s="414"/>
      <c r="D73" s="938" t="s">
        <v>344</v>
      </c>
      <c r="E73" s="938"/>
      <c r="F73" s="938"/>
    </row>
    <row r="74" spans="1:6" ht="12.3">
      <c r="A74" s="414"/>
      <c r="B74" s="414"/>
      <c r="C74" s="414"/>
      <c r="D74" s="938"/>
      <c r="E74" s="938"/>
      <c r="F74" s="938"/>
    </row>
    <row r="75" spans="1:6" ht="12.3">
      <c r="A75" s="414"/>
      <c r="B75" s="414"/>
      <c r="C75" s="414"/>
      <c r="D75" s="938"/>
      <c r="E75" s="938"/>
      <c r="F75" s="938"/>
    </row>
    <row r="76" spans="1:6" ht="12.3">
      <c r="A76" s="414"/>
      <c r="B76" s="414"/>
      <c r="C76" s="414"/>
      <c r="D76" s="37"/>
      <c r="E76" s="37"/>
      <c r="F76" s="37"/>
    </row>
    <row r="77" spans="1:6" ht="12.3">
      <c r="A77" s="233" t="s">
        <v>249</v>
      </c>
      <c r="B77" s="529" t="s">
        <v>325</v>
      </c>
      <c r="C77" s="414"/>
      <c r="D77" s="938" t="s">
        <v>345</v>
      </c>
      <c r="E77" s="938"/>
      <c r="F77" s="938"/>
    </row>
    <row r="78" spans="1:6" ht="12.3">
      <c r="A78" s="414"/>
      <c r="B78" s="414"/>
      <c r="C78" s="414"/>
      <c r="D78" s="938"/>
      <c r="E78" s="938"/>
      <c r="F78" s="938"/>
    </row>
    <row r="79" spans="1:6" ht="12.3">
      <c r="A79" s="414"/>
      <c r="B79" s="414"/>
      <c r="C79" s="414"/>
      <c r="D79" s="37"/>
      <c r="E79" s="37"/>
      <c r="F79" s="37"/>
    </row>
    <row r="80" spans="1:6" ht="12.3">
      <c r="A80" s="233" t="s">
        <v>249</v>
      </c>
      <c r="B80" s="529" t="s">
        <v>325</v>
      </c>
      <c r="C80" s="414"/>
      <c r="D80" s="938" t="s">
        <v>346</v>
      </c>
      <c r="E80" s="938"/>
      <c r="F80" s="938"/>
    </row>
    <row r="81" spans="1:7" ht="12.3">
      <c r="A81" s="414"/>
      <c r="B81" s="414"/>
      <c r="C81" s="414"/>
      <c r="D81" s="938"/>
      <c r="E81" s="938"/>
      <c r="F81" s="938"/>
      <c r="G81" s="37"/>
    </row>
    <row r="82" spans="1:7" ht="12.3">
      <c r="A82" s="414"/>
      <c r="B82" s="414"/>
      <c r="C82" s="414"/>
      <c r="D82" s="938"/>
      <c r="E82" s="938"/>
      <c r="F82" s="938"/>
      <c r="G82" s="37"/>
    </row>
    <row r="83" spans="1:7" ht="12.3">
      <c r="A83" s="414"/>
      <c r="B83" s="414"/>
      <c r="C83" s="414"/>
      <c r="D83" s="232"/>
      <c r="E83" s="37"/>
      <c r="F83" s="37"/>
      <c r="G83" s="37"/>
    </row>
    <row r="84" spans="1:7" ht="12.3">
      <c r="A84" s="233" t="s">
        <v>249</v>
      </c>
      <c r="B84" s="529" t="s">
        <v>325</v>
      </c>
      <c r="C84" s="414"/>
      <c r="D84" s="938" t="s">
        <v>347</v>
      </c>
      <c r="E84" s="938"/>
      <c r="F84" s="938"/>
      <c r="G84" s="37"/>
    </row>
    <row r="85" spans="1:7" ht="12.3">
      <c r="A85" s="414"/>
      <c r="B85" s="414"/>
      <c r="C85" s="414"/>
      <c r="D85" s="938"/>
      <c r="E85" s="938"/>
      <c r="F85" s="938"/>
      <c r="G85" s="37"/>
    </row>
    <row r="86" spans="1:7" ht="12.3">
      <c r="A86" s="414"/>
      <c r="B86" s="414"/>
      <c r="C86" s="414"/>
      <c r="D86" s="37"/>
      <c r="E86" s="37"/>
      <c r="F86" s="37"/>
      <c r="G86" s="37"/>
    </row>
    <row r="87" spans="1:7" ht="12.3">
      <c r="A87" s="964" t="s">
        <v>348</v>
      </c>
      <c r="B87" s="964"/>
      <c r="C87" s="964"/>
      <c r="D87" s="964"/>
      <c r="E87" s="964"/>
      <c r="F87" s="964"/>
      <c r="G87" s="964"/>
    </row>
    <row r="88" spans="1:7" ht="12.3">
      <c r="A88" s="414"/>
      <c r="B88" s="414"/>
      <c r="C88" s="414"/>
      <c r="D88" s="37"/>
      <c r="E88"/>
      <c r="F88"/>
      <c r="G88"/>
    </row>
    <row r="89" spans="1:7" ht="14.1" customHeight="1">
      <c r="A89" s="414"/>
      <c r="B89" s="414"/>
      <c r="C89" s="511"/>
      <c r="D89" s="966" t="s">
        <v>349</v>
      </c>
      <c r="E89" s="966"/>
      <c r="F89" s="966"/>
      <c r="G89"/>
    </row>
    <row r="90" spans="1:7" ht="14.1" customHeight="1">
      <c r="A90" s="232"/>
      <c r="B90" s="232"/>
      <c r="C90" s="414"/>
      <c r="D90" s="938" t="s">
        <v>350</v>
      </c>
      <c r="E90" s="938"/>
      <c r="F90" s="938"/>
      <c r="G90"/>
    </row>
    <row r="91" spans="1:7" ht="12.3">
      <c r="A91" s="232"/>
      <c r="B91" s="232"/>
      <c r="C91" s="414"/>
      <c r="D91" s="37"/>
      <c r="E91"/>
      <c r="F91"/>
      <c r="G91"/>
    </row>
    <row r="92" spans="1:7" ht="14.25" customHeight="1">
      <c r="A92" s="233"/>
      <c r="B92" s="529" t="s">
        <v>323</v>
      </c>
      <c r="C92" s="414"/>
      <c r="D92" s="938" t="s">
        <v>351</v>
      </c>
      <c r="E92" s="938"/>
      <c r="F92" s="938"/>
      <c r="G92"/>
    </row>
    <row r="93" spans="1:7" ht="14.85" customHeight="1">
      <c r="A93" s="233"/>
      <c r="B93" s="414"/>
      <c r="C93" s="414"/>
      <c r="D93" s="938"/>
      <c r="E93" s="938"/>
      <c r="F93" s="938"/>
      <c r="G93"/>
    </row>
    <row r="94" spans="1:7" ht="12.3">
      <c r="A94" s="233"/>
      <c r="B94" s="233"/>
      <c r="C94" s="414"/>
      <c r="D94" s="938"/>
      <c r="E94" s="938"/>
      <c r="F94" s="938"/>
      <c r="G94"/>
    </row>
    <row r="95" spans="1:7" ht="12.3">
      <c r="A95" s="233"/>
      <c r="B95" s="233"/>
      <c r="C95" s="414"/>
      <c r="D95" s="938"/>
      <c r="E95" s="938"/>
      <c r="F95" s="938"/>
      <c r="G95"/>
    </row>
    <row r="96" spans="1:7" ht="12.3">
      <c r="A96" s="233"/>
      <c r="B96" s="233"/>
      <c r="C96" s="414"/>
      <c r="D96" s="938"/>
      <c r="E96" s="938"/>
      <c r="F96" s="938"/>
      <c r="G96"/>
    </row>
    <row r="97" spans="1:7" ht="12.3">
      <c r="A97" s="233"/>
      <c r="B97" s="233"/>
      <c r="C97" s="414"/>
      <c r="D97" s="938"/>
      <c r="E97" s="938"/>
      <c r="F97" s="938"/>
      <c r="G97"/>
    </row>
    <row r="98" spans="1:7" ht="12.3">
      <c r="A98" s="233"/>
      <c r="B98" s="233"/>
      <c r="C98" s="414"/>
      <c r="D98" s="938"/>
      <c r="E98" s="938"/>
      <c r="F98" s="938"/>
      <c r="G98"/>
    </row>
    <row r="99" spans="1:7" ht="12.3">
      <c r="A99" s="233"/>
      <c r="B99" s="233"/>
      <c r="C99" s="414"/>
      <c r="D99" s="938"/>
      <c r="E99" s="938"/>
      <c r="F99" s="938"/>
      <c r="G99"/>
    </row>
    <row r="100" spans="1:7" ht="12.3">
      <c r="A100" s="233"/>
      <c r="B100" s="233"/>
      <c r="C100" s="414"/>
      <c r="D100" s="938"/>
      <c r="E100" s="938"/>
      <c r="F100" s="938"/>
      <c r="G100"/>
    </row>
    <row r="101" spans="1:7" ht="14.85" customHeight="1">
      <c r="A101" s="233"/>
      <c r="B101" s="529" t="s">
        <v>325</v>
      </c>
      <c r="C101" s="414"/>
      <c r="D101" s="961" t="s">
        <v>352</v>
      </c>
      <c r="E101" s="961"/>
      <c r="F101" s="961"/>
      <c r="G101"/>
    </row>
    <row r="102" spans="1:7" ht="12.3">
      <c r="A102" s="233"/>
      <c r="B102" s="233"/>
      <c r="C102" s="414"/>
      <c r="D102" s="961"/>
      <c r="E102" s="961"/>
      <c r="F102" s="961"/>
      <c r="G102"/>
    </row>
    <row r="103" spans="1:7" ht="12.3">
      <c r="A103" s="233"/>
      <c r="B103" s="233"/>
      <c r="C103" s="414"/>
      <c r="D103" s="961"/>
      <c r="E103" s="961"/>
      <c r="F103" s="961"/>
      <c r="G103"/>
    </row>
    <row r="104" spans="1:7" ht="12.3">
      <c r="A104" s="233"/>
      <c r="B104" s="233"/>
      <c r="C104" s="414"/>
      <c r="D104" s="961"/>
      <c r="E104" s="961"/>
      <c r="F104" s="961"/>
      <c r="G104"/>
    </row>
    <row r="105" spans="1:7" ht="12.3">
      <c r="A105" s="233"/>
      <c r="B105" s="233"/>
      <c r="C105" s="414"/>
      <c r="D105" s="961"/>
      <c r="E105" s="961"/>
      <c r="F105" s="961"/>
      <c r="G105"/>
    </row>
    <row r="106" spans="1:7" ht="12.3">
      <c r="A106" s="233"/>
      <c r="B106" s="233"/>
      <c r="C106" s="414"/>
      <c r="D106" s="961"/>
      <c r="E106" s="961"/>
      <c r="F106" s="961"/>
      <c r="G106"/>
    </row>
    <row r="107" spans="1:7" ht="12.3">
      <c r="A107" s="233"/>
      <c r="B107" s="233"/>
      <c r="C107" s="414"/>
      <c r="D107" s="961"/>
      <c r="E107" s="961"/>
      <c r="F107" s="961"/>
      <c r="G107"/>
    </row>
    <row r="108" spans="1:7" ht="12.3">
      <c r="A108" s="233"/>
      <c r="B108" s="233"/>
      <c r="C108" s="414"/>
      <c r="D108" s="961"/>
      <c r="E108" s="961"/>
      <c r="F108" s="961"/>
      <c r="G108"/>
    </row>
    <row r="109" spans="1:7" ht="12.3">
      <c r="A109" s="233"/>
      <c r="B109" s="233"/>
      <c r="C109" s="414"/>
      <c r="D109" s="961"/>
      <c r="E109" s="961"/>
      <c r="F109" s="961"/>
      <c r="G109"/>
    </row>
    <row r="110" spans="1:7" ht="12.3">
      <c r="A110" s="233"/>
      <c r="B110" s="233"/>
      <c r="C110" s="414"/>
      <c r="D110" s="961"/>
      <c r="E110" s="961"/>
      <c r="F110" s="961"/>
      <c r="G110"/>
    </row>
    <row r="111" spans="1:7" ht="12.3">
      <c r="A111" s="233"/>
      <c r="B111" s="233"/>
      <c r="C111" s="414"/>
      <c r="D111" s="961"/>
      <c r="E111" s="961"/>
      <c r="F111" s="961"/>
      <c r="G111"/>
    </row>
    <row r="112" spans="1:7" ht="12.3">
      <c r="A112" s="233"/>
      <c r="B112" s="233"/>
      <c r="C112" s="414"/>
      <c r="D112" s="961"/>
      <c r="E112" s="961"/>
      <c r="F112" s="961"/>
      <c r="G112"/>
    </row>
    <row r="113" spans="1:7" ht="12.3">
      <c r="A113" s="233"/>
      <c r="B113" s="233"/>
      <c r="C113" s="414"/>
      <c r="D113" s="961"/>
      <c r="E113" s="961"/>
      <c r="F113" s="961"/>
      <c r="G113"/>
    </row>
    <row r="114" spans="1:7" ht="12.3">
      <c r="A114" s="233"/>
      <c r="B114" s="529" t="s">
        <v>325</v>
      </c>
      <c r="C114" s="414"/>
      <c r="D114" s="938" t="s">
        <v>353</v>
      </c>
      <c r="E114" s="938"/>
      <c r="F114" s="938"/>
      <c r="G114"/>
    </row>
    <row r="115" spans="1:7" ht="12.3">
      <c r="A115" s="233"/>
      <c r="B115" s="233"/>
      <c r="C115" s="414"/>
      <c r="D115" s="938"/>
      <c r="E115" s="938"/>
      <c r="F115" s="938"/>
      <c r="G115"/>
    </row>
    <row r="116" spans="1:7" ht="12.3">
      <c r="A116" s="233"/>
      <c r="B116" s="233"/>
      <c r="C116" s="414"/>
      <c r="D116" s="938"/>
      <c r="E116" s="938"/>
      <c r="F116" s="938"/>
      <c r="G116"/>
    </row>
    <row r="117" spans="1:7" ht="12.3">
      <c r="A117" s="233"/>
      <c r="B117" s="233"/>
      <c r="C117" s="414"/>
      <c r="D117" s="938"/>
      <c r="E117" s="938"/>
      <c r="F117" s="938"/>
      <c r="G117"/>
    </row>
    <row r="118" spans="1:7" ht="12.3">
      <c r="A118" s="233"/>
      <c r="B118" s="233"/>
      <c r="C118" s="414"/>
      <c r="D118" s="938"/>
      <c r="E118" s="938"/>
      <c r="F118" s="938"/>
      <c r="G118"/>
    </row>
    <row r="119" spans="1:7" ht="12.3">
      <c r="A119" s="233"/>
      <c r="B119" s="233"/>
      <c r="C119" s="414"/>
      <c r="D119" s="938"/>
      <c r="E119" s="938"/>
      <c r="F119" s="938"/>
      <c r="G119"/>
    </row>
    <row r="120" spans="1:7" ht="12.3">
      <c r="A120" s="233"/>
      <c r="B120" s="233"/>
      <c r="C120" s="414"/>
      <c r="D120" s="938"/>
      <c r="E120" s="938"/>
      <c r="F120" s="938"/>
      <c r="G120"/>
    </row>
    <row r="121" spans="1:7" ht="12.3">
      <c r="A121" s="233"/>
      <c r="B121" s="233"/>
      <c r="C121" s="414"/>
      <c r="D121" s="938"/>
      <c r="E121" s="938"/>
      <c r="F121" s="938"/>
      <c r="G121"/>
    </row>
    <row r="122" spans="1:7" ht="12.75" customHeight="1">
      <c r="A122" s="233"/>
      <c r="B122" s="529" t="s">
        <v>323</v>
      </c>
      <c r="C122" s="414"/>
      <c r="D122" s="938" t="s">
        <v>354</v>
      </c>
      <c r="E122" s="938"/>
      <c r="F122" s="938"/>
      <c r="G122" s="37"/>
    </row>
    <row r="123" spans="1:7" ht="12.3">
      <c r="A123" s="414"/>
      <c r="B123" s="414"/>
      <c r="C123" s="414"/>
      <c r="D123" s="938"/>
      <c r="E123" s="938"/>
      <c r="F123" s="938"/>
      <c r="G123" s="37"/>
    </row>
    <row r="124" spans="1:7" ht="12.3">
      <c r="A124" s="414"/>
      <c r="B124" s="414"/>
      <c r="C124" s="414"/>
      <c r="D124" s="938"/>
      <c r="E124" s="938"/>
      <c r="F124" s="938"/>
      <c r="G124" s="37"/>
    </row>
    <row r="125" spans="1:7" ht="12.3">
      <c r="A125" s="414"/>
      <c r="B125" s="414"/>
      <c r="C125" s="414"/>
      <c r="D125" s="938"/>
      <c r="E125" s="938"/>
      <c r="F125" s="938"/>
      <c r="G125" s="37"/>
    </row>
    <row r="126" spans="1:7" ht="26.85" customHeight="1">
      <c r="A126" s="414"/>
      <c r="B126" s="414"/>
      <c r="C126" s="414"/>
      <c r="D126" s="938"/>
      <c r="E126" s="938"/>
      <c r="F126" s="938"/>
      <c r="G126" s="37"/>
    </row>
    <row r="127" spans="1:7" ht="12.3">
      <c r="A127" s="414"/>
      <c r="B127" s="414"/>
      <c r="C127" s="414"/>
      <c r="D127" s="37"/>
      <c r="E127" s="37"/>
      <c r="F127" s="37"/>
      <c r="G127" s="37"/>
    </row>
    <row r="128" spans="1:7" ht="12.3">
      <c r="A128" s="233"/>
      <c r="B128" s="529" t="s">
        <v>323</v>
      </c>
      <c r="C128" s="414"/>
      <c r="D128" s="938" t="s">
        <v>355</v>
      </c>
      <c r="E128" s="938"/>
      <c r="F128" s="938"/>
      <c r="G128" s="37"/>
    </row>
    <row r="129" spans="1:7" s="271" customFormat="1" ht="14.1" customHeight="1">
      <c r="A129" s="863"/>
      <c r="B129" s="863"/>
      <c r="C129" s="863"/>
      <c r="D129" s="938"/>
      <c r="E129" s="938"/>
      <c r="F129" s="938"/>
      <c r="G129" s="864"/>
    </row>
    <row r="130" spans="1:7" ht="14.1" customHeight="1">
      <c r="A130" s="414"/>
      <c r="B130" s="414"/>
      <c r="C130" s="414"/>
      <c r="D130" s="938"/>
      <c r="E130" s="938"/>
      <c r="F130" s="938"/>
      <c r="G130" s="37"/>
    </row>
    <row r="131" spans="1:7" ht="14.1" customHeight="1">
      <c r="A131" s="414"/>
      <c r="B131" s="414"/>
      <c r="C131" s="414"/>
      <c r="D131" s="938"/>
      <c r="E131" s="938"/>
      <c r="F131" s="938"/>
      <c r="G131" s="37"/>
    </row>
    <row r="132" spans="1:7" ht="14.1" customHeight="1">
      <c r="A132" s="414"/>
      <c r="B132" s="414"/>
      <c r="C132" s="414"/>
      <c r="D132" s="938"/>
      <c r="E132" s="938"/>
      <c r="F132" s="938"/>
      <c r="G132" s="37"/>
    </row>
    <row r="133" spans="1:7" ht="14.1" customHeight="1">
      <c r="A133" s="414"/>
      <c r="B133" s="414"/>
      <c r="C133" s="414"/>
      <c r="D133" s="938"/>
      <c r="E133" s="938"/>
      <c r="F133" s="938"/>
      <c r="G133" s="37"/>
    </row>
    <row r="134" spans="1:7" ht="14.1" customHeight="1">
      <c r="A134" s="414"/>
      <c r="B134" s="414"/>
      <c r="C134" s="414"/>
      <c r="D134" s="938"/>
      <c r="E134" s="938"/>
      <c r="F134" s="938"/>
      <c r="G134"/>
    </row>
    <row r="135" spans="1:7" ht="14.1" customHeight="1">
      <c r="A135" s="414"/>
      <c r="B135" s="414"/>
      <c r="C135" s="414"/>
      <c r="D135" s="938"/>
      <c r="E135" s="938"/>
      <c r="F135" s="938"/>
      <c r="G135"/>
    </row>
    <row r="136" spans="1:7" ht="14.1" customHeight="1">
      <c r="A136" s="414"/>
      <c r="B136" s="414"/>
      <c r="C136" s="414"/>
      <c r="D136" s="938"/>
      <c r="E136" s="938"/>
      <c r="F136" s="938"/>
      <c r="G136"/>
    </row>
    <row r="137" spans="1:7" ht="14.1" customHeight="1">
      <c r="A137" s="414"/>
      <c r="B137" s="414"/>
      <c r="C137" s="414"/>
      <c r="D137" s="938"/>
      <c r="E137" s="938"/>
      <c r="F137" s="938"/>
      <c r="G137"/>
    </row>
    <row r="138" spans="1:7" ht="17.25" customHeight="1">
      <c r="A138" s="414"/>
      <c r="B138" s="414"/>
      <c r="C138" s="414"/>
      <c r="D138" s="938"/>
      <c r="E138" s="938"/>
      <c r="F138" s="938"/>
      <c r="G138"/>
    </row>
    <row r="139" spans="1:7" ht="25.5" hidden="1" customHeight="1">
      <c r="A139" s="414"/>
      <c r="B139" s="414"/>
      <c r="C139" s="414"/>
      <c r="D139" s="938"/>
      <c r="E139" s="938"/>
      <c r="F139" s="938"/>
      <c r="G139"/>
    </row>
    <row r="140" spans="1:7" ht="14.1" customHeight="1">
      <c r="A140" s="414"/>
      <c r="B140" s="414"/>
      <c r="C140" s="414"/>
      <c r="D140" s="37"/>
      <c r="E140" s="37"/>
      <c r="F140" s="37"/>
      <c r="G140"/>
    </row>
    <row r="141" spans="1:7" ht="14.1" customHeight="1">
      <c r="A141" s="414"/>
      <c r="B141" s="529" t="s">
        <v>325</v>
      </c>
      <c r="C141" s="414"/>
      <c r="D141" s="938" t="s">
        <v>356</v>
      </c>
      <c r="E141" s="938"/>
      <c r="F141" s="938"/>
      <c r="G141"/>
    </row>
    <row r="142" spans="1:7" ht="14.1" customHeight="1">
      <c r="A142" s="414"/>
      <c r="B142" s="414"/>
      <c r="C142" s="414"/>
      <c r="D142" s="938"/>
      <c r="E142" s="938"/>
      <c r="F142" s="938"/>
      <c r="G142"/>
    </row>
    <row r="143" spans="1:7" ht="14.1" customHeight="1">
      <c r="A143" s="414"/>
      <c r="B143" s="414"/>
      <c r="C143" s="414"/>
      <c r="D143" s="938"/>
      <c r="E143" s="938"/>
      <c r="F143" s="938"/>
      <c r="G143"/>
    </row>
    <row r="144" spans="1:7" ht="14.1" customHeight="1">
      <c r="A144" s="414"/>
      <c r="B144" s="414"/>
      <c r="C144" s="414"/>
      <c r="D144" s="938"/>
      <c r="E144" s="938"/>
      <c r="F144" s="938"/>
      <c r="G144"/>
    </row>
    <row r="145" spans="1:7" ht="14.1" customHeight="1">
      <c r="A145" s="414"/>
      <c r="B145" s="414"/>
      <c r="C145" s="414"/>
      <c r="D145" s="938"/>
      <c r="E145" s="938"/>
      <c r="F145" s="938"/>
      <c r="G145"/>
    </row>
    <row r="146" spans="1:7" ht="14.1" customHeight="1">
      <c r="A146" s="18"/>
      <c r="B146" s="18"/>
      <c r="C146" s="414"/>
      <c r="D146" s="938"/>
      <c r="E146" s="938"/>
      <c r="F146" s="938"/>
      <c r="G146"/>
    </row>
    <row r="147" spans="1:7" ht="14.1" customHeight="1">
      <c r="A147" s="18"/>
      <c r="B147" s="18"/>
      <c r="C147" s="414"/>
      <c r="D147" s="938"/>
      <c r="E147" s="938"/>
      <c r="F147" s="938"/>
      <c r="G147"/>
    </row>
    <row r="148" spans="1:7" ht="14.1" customHeight="1">
      <c r="A148" s="18"/>
      <c r="B148" s="18"/>
      <c r="C148" s="414"/>
      <c r="D148" s="938"/>
      <c r="E148" s="938"/>
      <c r="F148" s="938"/>
      <c r="G148"/>
    </row>
    <row r="149" spans="1:7" ht="14.1" customHeight="1">
      <c r="A149" s="18"/>
      <c r="B149" s="18"/>
      <c r="C149" s="414"/>
      <c r="D149" s="938"/>
      <c r="E149" s="938"/>
      <c r="F149" s="938"/>
      <c r="G149"/>
    </row>
    <row r="150" spans="1:7" ht="14.1" customHeight="1">
      <c r="A150" s="18"/>
      <c r="B150" s="18"/>
      <c r="C150" s="414"/>
      <c r="D150" s="938"/>
      <c r="E150" s="938"/>
      <c r="F150" s="938"/>
      <c r="G150"/>
    </row>
    <row r="151" spans="1:7" ht="14.1" customHeight="1">
      <c r="A151" s="18"/>
      <c r="B151" s="18"/>
      <c r="C151" s="414"/>
      <c r="D151" s="938"/>
      <c r="E151" s="938"/>
      <c r="F151" s="938"/>
      <c r="G151"/>
    </row>
    <row r="152" spans="1:7" ht="14.1" customHeight="1">
      <c r="A152" s="18"/>
      <c r="B152" s="18"/>
      <c r="C152" s="414"/>
      <c r="D152" s="938"/>
      <c r="E152" s="938"/>
      <c r="F152" s="938"/>
      <c r="G152"/>
    </row>
    <row r="153" spans="1:7" ht="14.1" customHeight="1">
      <c r="A153" s="18"/>
      <c r="B153" s="18"/>
      <c r="C153" s="414"/>
      <c r="D153" s="938"/>
      <c r="E153" s="938"/>
      <c r="F153" s="938"/>
      <c r="G153"/>
    </row>
    <row r="154" spans="1:7" ht="14.1" customHeight="1">
      <c r="A154" s="18"/>
      <c r="B154" s="18"/>
      <c r="C154" s="414"/>
      <c r="D154" s="938"/>
      <c r="E154" s="938"/>
      <c r="F154" s="938"/>
      <c r="G154"/>
    </row>
    <row r="155" spans="1:7" ht="14.1" customHeight="1">
      <c r="A155" s="18"/>
      <c r="B155" s="18"/>
      <c r="C155" s="414"/>
      <c r="D155" s="938"/>
      <c r="E155" s="938"/>
      <c r="F155" s="938"/>
      <c r="G155"/>
    </row>
    <row r="156" spans="1:7" ht="14.1" customHeight="1">
      <c r="A156" s="18"/>
      <c r="B156" s="18"/>
      <c r="C156" s="414"/>
      <c r="D156" s="938"/>
      <c r="E156" s="938"/>
      <c r="F156" s="938"/>
      <c r="G156"/>
    </row>
    <row r="157" spans="1:7" ht="14.1" customHeight="1">
      <c r="A157" s="18"/>
      <c r="B157" s="18"/>
      <c r="C157" s="414"/>
      <c r="D157" s="938"/>
      <c r="E157" s="938"/>
      <c r="F157" s="938"/>
      <c r="G157"/>
    </row>
    <row r="158" spans="1:7" ht="14.1" customHeight="1">
      <c r="A158" s="18"/>
      <c r="B158" s="18"/>
      <c r="C158" s="414"/>
      <c r="D158" s="938"/>
      <c r="E158" s="938"/>
      <c r="F158" s="938"/>
      <c r="G158"/>
    </row>
    <row r="159" spans="1:7" ht="14.1" customHeight="1">
      <c r="A159" s="18"/>
      <c r="B159" s="18"/>
      <c r="C159" s="414"/>
      <c r="D159" s="995" t="s">
        <v>357</v>
      </c>
      <c r="E159" s="995"/>
      <c r="F159" s="995"/>
      <c r="G159"/>
    </row>
    <row r="160" spans="1:7" ht="14.1" customHeight="1">
      <c r="A160" s="18"/>
      <c r="B160" s="18"/>
      <c r="C160" s="414"/>
      <c r="D160" s="232"/>
      <c r="E160" s="37"/>
      <c r="F160" s="37"/>
      <c r="G160"/>
    </row>
    <row r="161" spans="1:7" ht="14.1" customHeight="1">
      <c r="A161" s="233"/>
      <c r="B161" s="529" t="s">
        <v>325</v>
      </c>
      <c r="C161" s="414"/>
      <c r="D161" s="961" t="s">
        <v>358</v>
      </c>
      <c r="E161" s="997"/>
      <c r="F161" s="997"/>
      <c r="G161"/>
    </row>
    <row r="162" spans="1:7" ht="14.1" customHeight="1">
      <c r="A162" s="233"/>
      <c r="B162" s="18"/>
      <c r="C162" s="414"/>
      <c r="D162" s="997"/>
      <c r="E162" s="997"/>
      <c r="F162" s="997"/>
      <c r="G162"/>
    </row>
    <row r="163" spans="1:7" ht="14.1" customHeight="1">
      <c r="A163" s="18"/>
      <c r="B163" s="18"/>
      <c r="C163" s="414"/>
      <c r="D163" s="997"/>
      <c r="E163" s="997"/>
      <c r="F163" s="997"/>
      <c r="G163"/>
    </row>
    <row r="164" spans="1:7" ht="14.1" customHeight="1">
      <c r="A164" s="18"/>
      <c r="B164" s="18"/>
      <c r="C164" s="414"/>
      <c r="D164" s="232"/>
      <c r="E164" s="37"/>
      <c r="F164" s="37"/>
      <c r="G164"/>
    </row>
    <row r="165" spans="1:7" ht="14.1" customHeight="1">
      <c r="A165" s="233"/>
      <c r="B165" s="529" t="s">
        <v>323</v>
      </c>
      <c r="C165" s="414"/>
      <c r="D165" s="997" t="s">
        <v>359</v>
      </c>
      <c r="E165" s="997"/>
      <c r="F165" s="997"/>
      <c r="G165"/>
    </row>
    <row r="166" spans="1:7" ht="14.1" customHeight="1">
      <c r="A166" s="18"/>
      <c r="B166" s="18"/>
      <c r="C166" s="414"/>
      <c r="D166" s="997"/>
      <c r="E166" s="997"/>
      <c r="F166" s="997"/>
      <c r="G166" s="37"/>
    </row>
    <row r="167" spans="1:7" ht="14.1" customHeight="1">
      <c r="A167" s="18"/>
      <c r="B167" s="18"/>
      <c r="C167" s="414"/>
      <c r="D167" s="997"/>
      <c r="E167" s="997"/>
      <c r="F167" s="997"/>
      <c r="G167" s="37"/>
    </row>
    <row r="168" spans="1:7" ht="14.1" customHeight="1">
      <c r="A168" s="18"/>
      <c r="B168" s="18"/>
      <c r="C168" s="414"/>
      <c r="D168" s="997"/>
      <c r="E168" s="997"/>
      <c r="F168" s="997"/>
      <c r="G168" s="37"/>
    </row>
    <row r="169" spans="1:7" ht="14.1" customHeight="1">
      <c r="A169" s="18"/>
      <c r="B169" s="18"/>
      <c r="C169" s="414"/>
      <c r="D169" s="232"/>
      <c r="E169" s="37"/>
      <c r="F169" s="37"/>
      <c r="G169" s="37"/>
    </row>
    <row r="170" spans="1:7" ht="14.1" customHeight="1">
      <c r="A170" s="300"/>
      <c r="B170" s="529" t="s">
        <v>325</v>
      </c>
      <c r="C170" s="300"/>
      <c r="D170" s="993" t="s">
        <v>360</v>
      </c>
      <c r="E170" s="993"/>
      <c r="F170" s="993"/>
      <c r="G170" s="296"/>
    </row>
    <row r="171" spans="1:7" ht="14.1" customHeight="1">
      <c r="A171" s="300"/>
      <c r="B171" s="300"/>
      <c r="C171" s="300"/>
      <c r="D171" s="993"/>
      <c r="E171" s="993"/>
      <c r="F171" s="993"/>
      <c r="G171" s="296"/>
    </row>
    <row r="172" spans="1:7" ht="14.1" customHeight="1">
      <c r="A172" s="300"/>
      <c r="B172" s="300"/>
      <c r="C172" s="300"/>
      <c r="D172" s="993"/>
      <c r="E172" s="993"/>
      <c r="F172" s="993"/>
      <c r="G172" s="296"/>
    </row>
    <row r="173" spans="1:7" ht="12.3">
      <c r="A173" s="300"/>
      <c r="B173" s="300"/>
      <c r="C173" s="300"/>
      <c r="D173" s="302"/>
      <c r="E173" s="296"/>
      <c r="F173" s="296"/>
      <c r="G173" s="296"/>
    </row>
    <row r="174" spans="1:7" ht="12.3">
      <c r="A174" s="964" t="s">
        <v>361</v>
      </c>
      <c r="B174" s="964"/>
      <c r="C174" s="964"/>
      <c r="D174" s="964"/>
      <c r="E174" s="964"/>
      <c r="F174" s="964"/>
      <c r="G174" s="964"/>
    </row>
    <row r="175" spans="1:7" ht="12.3">
      <c r="A175" s="414"/>
      <c r="B175" s="414"/>
      <c r="C175" s="414"/>
      <c r="D175" s="232"/>
      <c r="E175" s="37"/>
      <c r="F175" s="37"/>
      <c r="G175" s="37"/>
    </row>
    <row r="176" spans="1:7" ht="12.3">
      <c r="A176" s="414"/>
      <c r="B176" s="414"/>
      <c r="C176" s="511"/>
      <c r="D176" s="973" t="s">
        <v>362</v>
      </c>
      <c r="E176" s="973"/>
      <c r="F176" s="973"/>
      <c r="G176" s="37"/>
    </row>
    <row r="177" spans="1:6" ht="12.3">
      <c r="A177" s="167"/>
      <c r="B177" s="167"/>
      <c r="C177" s="167"/>
      <c r="D177" s="994" t="s">
        <v>363</v>
      </c>
      <c r="E177" s="994"/>
      <c r="F177" s="994"/>
    </row>
    <row r="178" spans="1:6" ht="12.3">
      <c r="A178" s="168"/>
      <c r="B178" s="168"/>
      <c r="C178" s="168"/>
      <c r="D178" s="37"/>
      <c r="E178" s="37"/>
      <c r="F178" s="37"/>
    </row>
    <row r="179" spans="1:6" ht="12.3">
      <c r="A179" s="233"/>
      <c r="B179" s="529" t="s">
        <v>325</v>
      </c>
      <c r="C179" s="414"/>
      <c r="D179" s="963" t="s">
        <v>364</v>
      </c>
      <c r="E179" s="963"/>
      <c r="F179" s="963"/>
    </row>
    <row r="180" spans="1:6" ht="12.3">
      <c r="A180" s="233"/>
      <c r="B180" s="414"/>
      <c r="C180" s="414"/>
      <c r="D180" s="266"/>
      <c r="E180" s="266"/>
      <c r="F180" s="266"/>
    </row>
    <row r="181" spans="1:6" ht="12.3">
      <c r="A181" s="233"/>
      <c r="B181" s="529" t="s">
        <v>325</v>
      </c>
      <c r="C181" s="414"/>
      <c r="D181" s="963" t="s">
        <v>365</v>
      </c>
      <c r="E181" s="963"/>
      <c r="F181" s="963"/>
    </row>
    <row r="182" spans="1:6" ht="12.3">
      <c r="A182" s="233"/>
      <c r="B182" s="414"/>
      <c r="C182" s="414"/>
      <c r="D182" s="266"/>
      <c r="E182" s="266"/>
      <c r="F182" s="266"/>
    </row>
    <row r="183" spans="1:6" ht="12.3">
      <c r="A183" s="233"/>
      <c r="B183" s="529" t="s">
        <v>325</v>
      </c>
      <c r="C183" s="414"/>
      <c r="D183" s="996" t="s">
        <v>366</v>
      </c>
      <c r="E183" s="996"/>
      <c r="F183" s="996"/>
    </row>
    <row r="184" spans="1:6" ht="14.1" customHeight="1">
      <c r="A184" s="233"/>
      <c r="B184" s="414"/>
      <c r="C184" s="414"/>
      <c r="D184" s="37" t="s">
        <v>14</v>
      </c>
      <c r="E184" s="938" t="s">
        <v>367</v>
      </c>
      <c r="F184" s="938"/>
    </row>
    <row r="185" spans="1:6" ht="12.3">
      <c r="A185" s="233"/>
      <c r="B185" s="414"/>
      <c r="C185" s="414"/>
      <c r="D185" s="684"/>
      <c r="E185" s="938"/>
      <c r="F185" s="938"/>
    </row>
    <row r="186" spans="1:6" ht="12.3">
      <c r="A186" s="233"/>
      <c r="B186" s="414"/>
      <c r="C186" s="414"/>
      <c r="D186" s="684"/>
      <c r="E186" s="938"/>
      <c r="F186" s="938"/>
    </row>
    <row r="187" spans="1:6" ht="12.3">
      <c r="A187" s="233"/>
      <c r="B187" s="414"/>
      <c r="C187" s="414"/>
      <c r="D187"/>
      <c r="E187" s="938"/>
      <c r="F187" s="938"/>
    </row>
    <row r="188" spans="1:6" ht="14.1" customHeight="1">
      <c r="A188" s="233"/>
      <c r="B188" s="414"/>
      <c r="C188" s="414"/>
      <c r="D188" s="684" t="s">
        <v>27</v>
      </c>
      <c r="E188" s="938" t="s">
        <v>368</v>
      </c>
      <c r="F188" s="938"/>
    </row>
    <row r="189" spans="1:6" ht="14.1" customHeight="1">
      <c r="A189" s="233"/>
      <c r="B189" s="414"/>
      <c r="C189" s="414"/>
      <c r="D189" s="684"/>
      <c r="E189" s="938"/>
      <c r="F189" s="938"/>
    </row>
    <row r="190" spans="1:6" ht="14.1" customHeight="1">
      <c r="A190" s="233"/>
      <c r="B190" s="414"/>
      <c r="C190" s="414"/>
      <c r="D190" s="684"/>
      <c r="E190" s="938"/>
      <c r="F190" s="938"/>
    </row>
    <row r="191" spans="1:6" ht="14.1" customHeight="1">
      <c r="A191" s="233"/>
      <c r="B191" s="414"/>
      <c r="C191" s="414"/>
      <c r="D191" s="684"/>
      <c r="E191" s="938"/>
      <c r="F191" s="938"/>
    </row>
    <row r="192" spans="1:6" ht="14.1" customHeight="1">
      <c r="A192" s="233"/>
      <c r="B192" s="414"/>
      <c r="C192" s="414"/>
      <c r="D192" s="684"/>
      <c r="E192" s="938"/>
      <c r="F192" s="938"/>
    </row>
    <row r="193" spans="1:7" ht="12.3">
      <c r="A193" s="233"/>
      <c r="B193" s="414"/>
      <c r="C193" s="414"/>
      <c r="D193"/>
      <c r="E193" s="938"/>
      <c r="F193" s="938"/>
      <c r="G193" s="37"/>
    </row>
    <row r="194" spans="1:7" ht="12.3">
      <c r="A194" s="233"/>
      <c r="B194" s="414"/>
      <c r="C194" s="414"/>
      <c r="D194"/>
      <c r="E194" s="938"/>
      <c r="F194" s="938"/>
      <c r="G194" s="37"/>
    </row>
    <row r="195" spans="1:7" ht="12.3">
      <c r="A195" s="414"/>
      <c r="B195" s="414"/>
      <c r="C195" s="414"/>
      <c r="D195" s="37"/>
      <c r="E195" s="37"/>
      <c r="F195" s="37"/>
      <c r="G195" s="37"/>
    </row>
    <row r="196" spans="1:7" ht="12.3">
      <c r="A196" s="233"/>
      <c r="B196" s="529" t="s">
        <v>325</v>
      </c>
      <c r="C196" s="414"/>
      <c r="D196" s="938" t="s">
        <v>369</v>
      </c>
      <c r="E196" s="938"/>
      <c r="F196" s="938"/>
      <c r="G196" s="37"/>
    </row>
    <row r="197" spans="1:7" ht="12.3">
      <c r="A197" s="233"/>
      <c r="B197" s="233"/>
      <c r="C197" s="414"/>
      <c r="D197" s="938"/>
      <c r="E197" s="938"/>
      <c r="F197" s="938"/>
      <c r="G197" s="37"/>
    </row>
    <row r="198" spans="1:7" ht="12.3">
      <c r="A198" s="233"/>
      <c r="B198" s="233"/>
      <c r="C198" s="414"/>
      <c r="D198" s="938"/>
      <c r="E198" s="938"/>
      <c r="F198" s="938"/>
      <c r="G198" s="37"/>
    </row>
    <row r="199" spans="1:7" ht="12.3">
      <c r="A199" s="233"/>
      <c r="B199" s="233"/>
      <c r="C199" s="414"/>
      <c r="D199" s="938"/>
      <c r="E199" s="938"/>
      <c r="F199" s="938"/>
      <c r="G199" s="37"/>
    </row>
    <row r="200" spans="1:7" ht="12.3">
      <c r="A200" s="414"/>
      <c r="B200" s="414"/>
      <c r="C200" s="414"/>
      <c r="D200" s="995" t="s">
        <v>370</v>
      </c>
      <c r="E200" s="995"/>
      <c r="F200" s="995"/>
      <c r="G200" s="37"/>
    </row>
    <row r="201" spans="1:7" ht="12.3">
      <c r="A201" s="414"/>
      <c r="B201" s="414"/>
      <c r="C201" s="414"/>
      <c r="D201" s="544"/>
      <c r="E201" s="544"/>
      <c r="F201" s="544"/>
      <c r="G201" s="37"/>
    </row>
    <row r="202" spans="1:7" ht="12.3">
      <c r="A202" s="233"/>
      <c r="B202" s="529" t="s">
        <v>325</v>
      </c>
      <c r="C202" s="414"/>
      <c r="D202" s="960" t="s">
        <v>371</v>
      </c>
      <c r="E202" s="960"/>
      <c r="F202" s="960"/>
      <c r="G202" s="37"/>
    </row>
    <row r="203" spans="1:7" ht="12.3">
      <c r="A203" s="414"/>
      <c r="B203" s="414"/>
      <c r="C203" s="414"/>
      <c r="D203" s="37"/>
      <c r="E203" s="37"/>
      <c r="F203" s="37"/>
      <c r="G203" s="37"/>
    </row>
    <row r="204" spans="1:7" ht="12.3">
      <c r="A204" s="964" t="s">
        <v>372</v>
      </c>
      <c r="B204" s="964"/>
      <c r="C204" s="964"/>
      <c r="D204" s="964"/>
      <c r="E204" s="964"/>
      <c r="F204" s="964"/>
      <c r="G204" s="964"/>
    </row>
    <row r="205" spans="1:7" ht="12.3">
      <c r="A205" s="414"/>
      <c r="B205" s="414"/>
      <c r="C205" s="414"/>
      <c r="D205" s="37"/>
      <c r="E205" s="37"/>
      <c r="F205" s="37"/>
      <c r="G205" s="37"/>
    </row>
    <row r="206" spans="1:7" ht="12.3">
      <c r="A206" s="414"/>
      <c r="B206" s="414"/>
      <c r="C206" s="512"/>
      <c r="D206" s="973" t="s">
        <v>373</v>
      </c>
      <c r="E206" s="973"/>
      <c r="F206" s="973"/>
      <c r="G206" s="37"/>
    </row>
    <row r="207" spans="1:7" ht="12.3">
      <c r="A207" s="513"/>
      <c r="B207" s="513"/>
      <c r="C207" s="512"/>
      <c r="D207" s="973" t="s">
        <v>374</v>
      </c>
      <c r="E207" s="973"/>
      <c r="F207" s="973"/>
      <c r="G207" s="37"/>
    </row>
    <row r="208" spans="1:7" ht="12.3">
      <c r="A208" s="167"/>
      <c r="B208" s="167"/>
      <c r="C208" s="167"/>
      <c r="D208" s="963" t="s">
        <v>375</v>
      </c>
      <c r="E208" s="963"/>
      <c r="F208" s="963"/>
      <c r="G208" s="37"/>
    </row>
    <row r="209" spans="1:6" ht="12.3">
      <c r="A209" s="167"/>
      <c r="B209" s="167"/>
      <c r="C209" s="167"/>
      <c r="D209" s="37"/>
      <c r="E209" s="37"/>
      <c r="F209" s="37"/>
    </row>
    <row r="210" spans="1:6" ht="12.3">
      <c r="A210" s="167"/>
      <c r="B210" s="167"/>
      <c r="C210" s="167"/>
      <c r="D210" s="938" t="s">
        <v>376</v>
      </c>
      <c r="E210" s="938"/>
      <c r="F210" s="938"/>
    </row>
    <row r="211" spans="1:6" ht="12.3">
      <c r="A211" s="167"/>
      <c r="B211" s="167"/>
      <c r="C211" s="167"/>
      <c r="D211" s="938"/>
      <c r="E211" s="938"/>
      <c r="F211" s="938"/>
    </row>
    <row r="212" spans="1:6" ht="12.3">
      <c r="A212" s="167"/>
      <c r="B212" s="167"/>
      <c r="C212" s="167"/>
      <c r="D212" s="938"/>
      <c r="E212" s="938"/>
      <c r="F212" s="938"/>
    </row>
    <row r="213" spans="1:6" ht="12.3">
      <c r="A213" s="167"/>
      <c r="B213" s="167"/>
      <c r="C213" s="167"/>
      <c r="D213" s="938"/>
      <c r="E213" s="938"/>
      <c r="F213" s="938"/>
    </row>
    <row r="214" spans="1:6" ht="12.3">
      <c r="A214" s="167"/>
      <c r="B214" s="167"/>
      <c r="C214" s="167"/>
      <c r="D214" s="37"/>
      <c r="E214" s="37"/>
      <c r="F214" s="37"/>
    </row>
    <row r="215" spans="1:6" ht="12.3">
      <c r="A215" s="167"/>
      <c r="B215" s="167"/>
      <c r="C215" s="167"/>
      <c r="D215" s="938" t="s">
        <v>377</v>
      </c>
      <c r="E215" s="938"/>
      <c r="F215" s="938"/>
    </row>
    <row r="216" spans="1:6" ht="12.3">
      <c r="A216" s="167"/>
      <c r="B216" s="167"/>
      <c r="C216" s="167"/>
      <c r="D216" s="938"/>
      <c r="E216" s="938"/>
      <c r="F216" s="938"/>
    </row>
    <row r="217" spans="1:6" ht="12.3">
      <c r="A217" s="167"/>
      <c r="B217" s="167"/>
      <c r="C217" s="167"/>
      <c r="D217" s="938"/>
      <c r="E217" s="938"/>
      <c r="F217" s="938"/>
    </row>
    <row r="218" spans="1:6" ht="12.3">
      <c r="A218" s="167"/>
      <c r="B218" s="167"/>
      <c r="C218" s="167"/>
      <c r="D218" s="938"/>
      <c r="E218" s="938"/>
      <c r="F218" s="938"/>
    </row>
    <row r="219" spans="1:6" ht="12.3">
      <c r="A219" s="167"/>
      <c r="B219" s="167"/>
      <c r="C219" s="167"/>
      <c r="D219" s="938"/>
      <c r="E219" s="938"/>
      <c r="F219" s="938"/>
    </row>
    <row r="220" spans="1:6" ht="12.3">
      <c r="A220" s="167"/>
      <c r="B220" s="167"/>
      <c r="C220" s="167"/>
      <c r="D220" s="938"/>
      <c r="E220" s="938"/>
      <c r="F220" s="938"/>
    </row>
    <row r="221" spans="1:6" ht="12.3">
      <c r="A221" s="168"/>
      <c r="B221" s="168"/>
      <c r="C221" s="168"/>
      <c r="D221" s="37"/>
      <c r="E221" s="37"/>
      <c r="F221" s="37"/>
    </row>
    <row r="222" spans="1:6" ht="14.85" customHeight="1">
      <c r="A222" s="233"/>
      <c r="B222" s="529" t="s">
        <v>325</v>
      </c>
      <c r="C222" s="168"/>
      <c r="D222" s="960" t="s">
        <v>378</v>
      </c>
      <c r="E222" s="960"/>
      <c r="F222" s="960"/>
    </row>
    <row r="223" spans="1:6" ht="12.3">
      <c r="A223" s="233"/>
      <c r="B223" s="414"/>
      <c r="C223" s="168"/>
      <c r="D223" s="963" t="s">
        <v>379</v>
      </c>
      <c r="E223" s="963"/>
      <c r="F223" s="963"/>
    </row>
    <row r="224" spans="1:6" ht="12.3">
      <c r="A224" s="233"/>
      <c r="B224" s="233"/>
      <c r="C224" s="168"/>
      <c r="D224" s="84" t="s">
        <v>380</v>
      </c>
      <c r="E224" s="971" t="s">
        <v>381</v>
      </c>
      <c r="F224" s="971"/>
    </row>
    <row r="225" spans="1:6" ht="12.3">
      <c r="A225" s="414"/>
      <c r="B225" s="414"/>
      <c r="C225" s="414"/>
      <c r="D225" s="963" t="s">
        <v>382</v>
      </c>
      <c r="E225" s="963"/>
      <c r="F225" s="963"/>
    </row>
    <row r="226" spans="1:6" ht="12.3">
      <c r="A226" s="414"/>
      <c r="B226" s="414"/>
      <c r="C226" s="414"/>
      <c r="D226" s="37"/>
      <c r="E226" s="37"/>
      <c r="F226" s="37"/>
    </row>
    <row r="227" spans="1:6" ht="12.3">
      <c r="A227" s="233"/>
      <c r="B227" s="529" t="s">
        <v>325</v>
      </c>
      <c r="C227" s="414"/>
      <c r="D227" s="963" t="s">
        <v>383</v>
      </c>
      <c r="E227" s="963"/>
      <c r="F227" s="963"/>
    </row>
    <row r="228" spans="1:6" ht="12.3">
      <c r="A228" s="233"/>
      <c r="B228" s="414"/>
      <c r="C228" s="414"/>
      <c r="D228" s="960" t="s">
        <v>379</v>
      </c>
      <c r="E228" s="960"/>
      <c r="F228" s="960"/>
    </row>
    <row r="229" spans="1:6" ht="12.3">
      <c r="A229" s="233"/>
      <c r="B229" s="233"/>
      <c r="C229" s="414"/>
      <c r="D229" s="56" t="s">
        <v>384</v>
      </c>
      <c r="E229" s="971" t="s">
        <v>385</v>
      </c>
      <c r="F229" s="971"/>
    </row>
    <row r="230" spans="1:6" ht="12.3">
      <c r="A230" s="414"/>
      <c r="B230" s="414"/>
      <c r="C230" s="414"/>
      <c r="D230" s="963" t="s">
        <v>386</v>
      </c>
      <c r="E230" s="963"/>
      <c r="F230" s="963"/>
    </row>
    <row r="231" spans="1:6" ht="12.3">
      <c r="A231" s="414"/>
      <c r="B231" s="414"/>
      <c r="C231" s="414"/>
      <c r="D231" s="37"/>
      <c r="E231" s="37"/>
      <c r="F231" s="37"/>
    </row>
    <row r="232" spans="1:6" ht="12.3">
      <c r="A232" s="233"/>
      <c r="B232" s="529" t="s">
        <v>323</v>
      </c>
      <c r="C232" s="414"/>
      <c r="D232" s="963" t="s">
        <v>387</v>
      </c>
      <c r="E232" s="963"/>
      <c r="F232" s="963"/>
    </row>
    <row r="233" spans="1:6" ht="12.3">
      <c r="A233" s="233"/>
      <c r="B233" s="414"/>
      <c r="C233" s="414"/>
      <c r="D233" s="232" t="s">
        <v>379</v>
      </c>
      <c r="E233" s="37"/>
      <c r="F233" s="37"/>
    </row>
    <row r="234" spans="1:6" ht="12.3">
      <c r="A234" s="233"/>
      <c r="B234" s="233"/>
      <c r="C234" s="414"/>
      <c r="D234" s="56" t="s">
        <v>380</v>
      </c>
      <c r="E234" s="971" t="s">
        <v>388</v>
      </c>
      <c r="F234" s="971"/>
    </row>
    <row r="235" spans="1:6" ht="12.3">
      <c r="A235" s="233"/>
      <c r="B235" s="233"/>
      <c r="C235" s="414"/>
      <c r="D235" s="938" t="s">
        <v>389</v>
      </c>
      <c r="E235" s="938"/>
      <c r="F235" s="938"/>
    </row>
    <row r="236" spans="1:6" ht="12.3">
      <c r="A236" s="414"/>
      <c r="B236" s="414"/>
      <c r="C236" s="414"/>
      <c r="D236" s="938"/>
      <c r="E236" s="938"/>
      <c r="F236" s="938"/>
    </row>
    <row r="237" spans="1:6" ht="12.3">
      <c r="A237" s="414"/>
      <c r="B237" s="414"/>
      <c r="C237" s="414"/>
      <c r="D237" s="938"/>
      <c r="E237" s="938"/>
      <c r="F237" s="938"/>
    </row>
    <row r="238" spans="1:6" ht="12.3">
      <c r="A238" s="414"/>
      <c r="B238" s="414"/>
      <c r="C238" s="414"/>
      <c r="D238" s="938"/>
      <c r="E238" s="938"/>
      <c r="F238" s="938"/>
    </row>
    <row r="239" spans="1:6" ht="12.3">
      <c r="A239" s="414"/>
      <c r="B239" s="414"/>
      <c r="C239" s="414"/>
      <c r="D239" s="938"/>
      <c r="E239" s="938"/>
      <c r="F239" s="938"/>
    </row>
    <row r="240" spans="1:6" ht="12.3">
      <c r="A240" s="414"/>
      <c r="B240" s="414"/>
      <c r="C240" s="414"/>
      <c r="D240" s="938" t="s">
        <v>390</v>
      </c>
      <c r="E240" s="938"/>
      <c r="F240" s="938"/>
    </row>
    <row r="241" spans="1:6" ht="12.3">
      <c r="A241" s="414"/>
      <c r="B241" s="414"/>
      <c r="C241" s="414"/>
      <c r="D241" s="232"/>
      <c r="E241" s="37"/>
      <c r="F241" s="37"/>
    </row>
    <row r="242" spans="1:6" ht="12.3">
      <c r="A242" s="233"/>
      <c r="B242" s="529" t="s">
        <v>325</v>
      </c>
      <c r="C242" s="414"/>
      <c r="D242" s="963" t="s">
        <v>391</v>
      </c>
      <c r="E242" s="963"/>
      <c r="F242" s="963"/>
    </row>
    <row r="243" spans="1:6" ht="12.3">
      <c r="A243" s="233"/>
      <c r="B243" s="414"/>
      <c r="C243" s="414"/>
      <c r="D243" s="963" t="s">
        <v>379</v>
      </c>
      <c r="E243" s="963"/>
      <c r="F243" s="963"/>
    </row>
    <row r="244" spans="1:6" ht="12.3">
      <c r="A244" s="233"/>
      <c r="B244" s="233"/>
      <c r="C244" s="414"/>
      <c r="D244" s="56" t="s">
        <v>380</v>
      </c>
      <c r="E244" s="971" t="s">
        <v>392</v>
      </c>
      <c r="F244" s="971"/>
    </row>
    <row r="245" spans="1:6" ht="12.3">
      <c r="A245" s="414"/>
      <c r="B245" s="414"/>
      <c r="C245" s="414"/>
      <c r="D245" s="963" t="s">
        <v>393</v>
      </c>
      <c r="E245" s="963"/>
      <c r="F245" s="963"/>
    </row>
    <row r="246" spans="1:6" ht="12.3">
      <c r="A246" s="414"/>
      <c r="B246" s="414"/>
      <c r="C246" s="414"/>
      <c r="D246" s="266"/>
      <c r="E246" s="266"/>
      <c r="F246" s="266"/>
    </row>
    <row r="247" spans="1:6" ht="12.3">
      <c r="A247" s="233"/>
      <c r="B247" s="529" t="s">
        <v>325</v>
      </c>
      <c r="C247" s="414"/>
      <c r="D247" s="963" t="s">
        <v>394</v>
      </c>
      <c r="E247" s="963"/>
      <c r="F247" s="963"/>
    </row>
    <row r="248" spans="1:6" ht="12.3">
      <c r="A248" s="233"/>
      <c r="B248" s="414"/>
      <c r="C248" s="414"/>
      <c r="D248" s="963" t="s">
        <v>379</v>
      </c>
      <c r="E248" s="963"/>
      <c r="F248" s="963"/>
    </row>
    <row r="249" spans="1:6" ht="12.3">
      <c r="A249" s="233"/>
      <c r="B249" s="233"/>
      <c r="C249" s="414"/>
      <c r="D249" s="56" t="s">
        <v>380</v>
      </c>
      <c r="E249" s="971" t="s">
        <v>395</v>
      </c>
      <c r="F249" s="971"/>
    </row>
    <row r="250" spans="1:6" ht="12.3">
      <c r="A250" s="414"/>
      <c r="B250" s="414"/>
      <c r="C250" s="414"/>
      <c r="D250" s="963" t="s">
        <v>396</v>
      </c>
      <c r="E250" s="963"/>
      <c r="F250" s="963"/>
    </row>
    <row r="251" spans="1:6" ht="12.3">
      <c r="A251" s="414"/>
      <c r="B251" s="414"/>
      <c r="C251" s="414"/>
      <c r="D251" s="232"/>
      <c r="E251" s="37"/>
      <c r="F251" s="37"/>
    </row>
    <row r="252" spans="1:6" ht="12.3">
      <c r="A252" s="233"/>
      <c r="B252" s="529" t="s">
        <v>325</v>
      </c>
      <c r="C252" s="414"/>
      <c r="D252" s="266" t="s">
        <v>397</v>
      </c>
      <c r="E252" s="266"/>
      <c r="F252" s="266"/>
    </row>
    <row r="253" spans="1:6" ht="12.3">
      <c r="A253" s="233"/>
      <c r="B253"/>
      <c r="C253" s="414"/>
      <c r="D253" s="938" t="s">
        <v>398</v>
      </c>
      <c r="E253" s="938"/>
      <c r="F253" s="938"/>
    </row>
    <row r="254" spans="1:6" ht="12.3">
      <c r="A254" s="233"/>
      <c r="B254" s="414"/>
      <c r="C254" s="414"/>
      <c r="D254" s="938"/>
      <c r="E254" s="938"/>
      <c r="F254" s="938"/>
    </row>
    <row r="255" spans="1:6" ht="12.3">
      <c r="A255" s="233"/>
      <c r="B255" s="414"/>
      <c r="C255" s="414"/>
      <c r="D255" s="938"/>
      <c r="E255" s="938"/>
      <c r="F255" s="938"/>
    </row>
    <row r="256" spans="1:6" ht="12.3">
      <c r="A256" s="233"/>
      <c r="B256" s="414"/>
      <c r="C256" s="414"/>
      <c r="D256" s="178"/>
      <c r="E256" s="178"/>
      <c r="F256" s="178"/>
    </row>
    <row r="257" spans="1:7" ht="12.3">
      <c r="A257" s="233"/>
      <c r="B257" s="529" t="s">
        <v>325</v>
      </c>
      <c r="C257" s="414"/>
      <c r="D257" s="963" t="s">
        <v>399</v>
      </c>
      <c r="E257" s="963"/>
      <c r="F257" s="963"/>
      <c r="G257" s="37"/>
    </row>
    <row r="258" spans="1:7" ht="12.3">
      <c r="A258" s="233"/>
      <c r="B258" s="414"/>
      <c r="C258" s="414"/>
      <c r="D258" s="266"/>
      <c r="E258" s="266"/>
      <c r="F258" s="266"/>
      <c r="G258" s="37"/>
    </row>
    <row r="259" spans="1:7" ht="12.3">
      <c r="A259" s="964" t="s">
        <v>400</v>
      </c>
      <c r="B259" s="964"/>
      <c r="C259" s="964"/>
      <c r="D259" s="964"/>
      <c r="E259" s="964"/>
      <c r="F259" s="964"/>
      <c r="G259" s="964"/>
    </row>
    <row r="260" spans="1:7" ht="12.3">
      <c r="A260" s="414"/>
      <c r="B260" s="414"/>
      <c r="C260" s="414"/>
      <c r="D260" s="232"/>
      <c r="E260" s="37"/>
      <c r="F260" s="37"/>
      <c r="G260" s="37"/>
    </row>
    <row r="261" spans="1:7" ht="12.3">
      <c r="A261" s="414"/>
      <c r="B261" s="414"/>
      <c r="C261" s="511"/>
      <c r="D261" s="965" t="s">
        <v>401</v>
      </c>
      <c r="E261" s="965"/>
      <c r="F261" s="965"/>
      <c r="G261" s="37"/>
    </row>
    <row r="262" spans="1:7" ht="12.3">
      <c r="A262" s="167"/>
      <c r="B262" s="167"/>
      <c r="C262" s="167"/>
      <c r="D262" s="960" t="s">
        <v>402</v>
      </c>
      <c r="E262" s="960"/>
      <c r="F262" s="960"/>
      <c r="G262" s="37"/>
    </row>
    <row r="263" spans="1:7" ht="12.3">
      <c r="A263" s="18"/>
      <c r="B263" s="18"/>
      <c r="C263" s="18"/>
      <c r="D263" s="3"/>
      <c r="E263" s="37"/>
      <c r="F263" s="37"/>
      <c r="G263" s="37"/>
    </row>
    <row r="264" spans="1:7" ht="12.3">
      <c r="A264" s="18"/>
      <c r="B264" s="414"/>
      <c r="C264" s="18"/>
      <c r="D264" s="965" t="s">
        <v>403</v>
      </c>
      <c r="E264" s="965"/>
      <c r="F264" s="965"/>
      <c r="G264"/>
    </row>
    <row r="265" spans="1:7" ht="14.85" customHeight="1">
      <c r="A265" s="233"/>
      <c r="B265" s="529" t="s">
        <v>323</v>
      </c>
      <c r="C265" s="787"/>
      <c r="D265" s="974" t="s">
        <v>404</v>
      </c>
      <c r="E265" s="974"/>
      <c r="F265" s="974"/>
      <c r="G265"/>
    </row>
    <row r="266" spans="1:7" ht="12.3">
      <c r="A266" s="233"/>
      <c r="B266" s="788"/>
      <c r="C266" s="787"/>
      <c r="D266" s="974"/>
      <c r="E266" s="974"/>
      <c r="F266" s="974"/>
      <c r="G266"/>
    </row>
    <row r="267" spans="1:7" ht="12.3">
      <c r="A267" s="233"/>
      <c r="B267" s="788"/>
      <c r="C267" s="787"/>
      <c r="D267" s="974"/>
      <c r="E267" s="974"/>
      <c r="F267" s="974"/>
      <c r="G267"/>
    </row>
    <row r="268" spans="1:7" ht="14.85" customHeight="1">
      <c r="A268" s="233"/>
      <c r="B268" s="788"/>
      <c r="C268" s="787"/>
      <c r="D268" s="974"/>
      <c r="E268" s="974"/>
      <c r="F268" s="974"/>
      <c r="G268"/>
    </row>
    <row r="269" spans="1:7" ht="12.3">
      <c r="A269" s="233"/>
      <c r="B269" s="788"/>
      <c r="C269" s="787"/>
      <c r="D269" s="789"/>
      <c r="E269" s="789"/>
      <c r="F269" s="789"/>
      <c r="G269"/>
    </row>
    <row r="270" spans="1:7" ht="12.3">
      <c r="A270" s="233"/>
      <c r="B270" s="529" t="s">
        <v>323</v>
      </c>
      <c r="C270" s="787"/>
      <c r="D270" s="974" t="s">
        <v>405</v>
      </c>
      <c r="E270" s="974"/>
      <c r="F270" s="974"/>
      <c r="G270"/>
    </row>
    <row r="271" spans="1:7" ht="12.3">
      <c r="A271" s="233"/>
      <c r="B271" s="788"/>
      <c r="C271" s="787"/>
      <c r="D271" s="974"/>
      <c r="E271" s="974"/>
      <c r="F271" s="974"/>
      <c r="G271"/>
    </row>
    <row r="272" spans="1:7" ht="12.3">
      <c r="A272" s="233"/>
      <c r="B272" s="788"/>
      <c r="C272" s="787"/>
      <c r="D272" s="974"/>
      <c r="E272" s="974"/>
      <c r="F272" s="974"/>
      <c r="G272"/>
    </row>
    <row r="273" spans="1:7" ht="12.3">
      <c r="A273" s="233"/>
      <c r="B273" s="788"/>
      <c r="C273" s="787"/>
      <c r="D273" s="974"/>
      <c r="E273" s="974"/>
      <c r="F273" s="974"/>
      <c r="G273"/>
    </row>
    <row r="274" spans="1:7" ht="12.3">
      <c r="A274" s="233"/>
      <c r="B274" s="788"/>
      <c r="C274" s="787"/>
      <c r="D274" s="974"/>
      <c r="E274" s="974"/>
      <c r="F274" s="974"/>
      <c r="G274"/>
    </row>
    <row r="275" spans="1:7" ht="12.3">
      <c r="A275" s="233"/>
      <c r="B275" s="788"/>
      <c r="C275" s="787"/>
      <c r="D275" s="789"/>
      <c r="E275" s="789"/>
      <c r="F275" s="789"/>
      <c r="G275"/>
    </row>
    <row r="276" spans="1:7" ht="12.3">
      <c r="A276" s="233"/>
      <c r="B276" s="788"/>
      <c r="C276" s="787"/>
      <c r="D276" s="974" t="s">
        <v>406</v>
      </c>
      <c r="E276" s="974"/>
      <c r="F276" s="974"/>
      <c r="G276"/>
    </row>
    <row r="277" spans="1:7" ht="12.3">
      <c r="A277" s="233"/>
      <c r="B277" s="788"/>
      <c r="C277" s="787"/>
      <c r="D277" s="974"/>
      <c r="E277" s="974"/>
      <c r="F277" s="974"/>
      <c r="G277"/>
    </row>
    <row r="278" spans="1:7" ht="12.3">
      <c r="A278" s="233"/>
      <c r="B278" s="788"/>
      <c r="C278" s="787"/>
      <c r="D278" s="974"/>
      <c r="E278" s="974"/>
      <c r="F278" s="974"/>
      <c r="G278"/>
    </row>
    <row r="279" spans="1:7" ht="12.3">
      <c r="A279" s="233"/>
      <c r="B279" s="788"/>
      <c r="C279" s="787"/>
      <c r="D279" s="974"/>
      <c r="E279" s="974"/>
      <c r="F279" s="974"/>
      <c r="G279"/>
    </row>
    <row r="280" spans="1:7" ht="12.3">
      <c r="A280" s="233"/>
      <c r="B280" s="788"/>
      <c r="C280" s="787"/>
      <c r="D280" s="974"/>
      <c r="E280" s="974"/>
      <c r="F280" s="974"/>
      <c r="G280"/>
    </row>
    <row r="281" spans="1:7" ht="12.3">
      <c r="A281" s="233"/>
      <c r="B281" s="233"/>
      <c r="C281" s="414"/>
      <c r="D281" s="684"/>
      <c r="E281" s="684"/>
      <c r="F281" s="684"/>
      <c r="G281"/>
    </row>
    <row r="282" spans="1:7" s="377" customFormat="1" ht="14.85" customHeight="1">
      <c r="A282" s="249"/>
      <c r="B282" s="529" t="s">
        <v>323</v>
      </c>
      <c r="C282" s="706"/>
      <c r="D282" s="972" t="s">
        <v>407</v>
      </c>
      <c r="E282" s="972"/>
      <c r="F282" s="972"/>
      <c r="G282" s="707"/>
    </row>
    <row r="283" spans="1:7" s="377" customFormat="1" ht="12.3">
      <c r="A283" s="249"/>
      <c r="B283" s="706"/>
      <c r="C283" s="706"/>
      <c r="D283" s="972"/>
      <c r="E283" s="972"/>
      <c r="F283" s="972"/>
      <c r="G283" s="707"/>
    </row>
    <row r="284" spans="1:7" s="377" customFormat="1" ht="12.3">
      <c r="A284" s="249"/>
      <c r="B284" s="706"/>
      <c r="C284" s="706"/>
      <c r="D284" s="972"/>
      <c r="E284" s="972"/>
      <c r="F284" s="972"/>
      <c r="G284" s="707"/>
    </row>
    <row r="285" spans="1:7" s="377" customFormat="1" ht="12.3">
      <c r="A285" s="706"/>
      <c r="B285" s="706"/>
      <c r="C285" s="706"/>
      <c r="D285" s="831"/>
      <c r="E285" s="832" t="s">
        <v>408</v>
      </c>
      <c r="F285" s="831"/>
      <c r="G285" s="707"/>
    </row>
    <row r="286" spans="1:7" ht="12.3">
      <c r="A286" s="233"/>
      <c r="B286" s="233"/>
      <c r="C286" s="414"/>
      <c r="D286" s="232"/>
      <c r="E286"/>
      <c r="F286"/>
      <c r="G286"/>
    </row>
    <row r="287" spans="1:7" ht="12.3">
      <c r="A287" s="233"/>
      <c r="B287" s="529" t="s">
        <v>323</v>
      </c>
      <c r="C287" s="414"/>
      <c r="D287" s="960" t="s">
        <v>409</v>
      </c>
      <c r="E287" s="960"/>
      <c r="F287" s="960"/>
      <c r="G287"/>
    </row>
    <row r="288" spans="1:7" ht="12.3">
      <c r="A288" s="233"/>
      <c r="B288" s="233"/>
      <c r="C288" s="414"/>
      <c r="D288" s="960" t="s">
        <v>410</v>
      </c>
      <c r="E288" s="960"/>
      <c r="F288" s="960"/>
      <c r="G288"/>
    </row>
    <row r="289" spans="1:7" ht="12.3">
      <c r="A289" s="233"/>
      <c r="B289" s="233"/>
      <c r="C289" s="414"/>
      <c r="D289" s="3" t="s">
        <v>411</v>
      </c>
      <c r="E289" s="832" t="s">
        <v>412</v>
      </c>
      <c r="F289" s="3"/>
      <c r="G289" s="37"/>
    </row>
    <row r="290" spans="1:7" ht="12.3">
      <c r="A290" s="414"/>
      <c r="B290" s="414"/>
      <c r="C290" s="414"/>
      <c r="D290" s="865"/>
      <c r="E290" s="37"/>
      <c r="F290" s="37"/>
      <c r="G290" s="37"/>
    </row>
    <row r="291" spans="1:7" ht="12.3">
      <c r="A291" s="233"/>
      <c r="B291" s="529" t="s">
        <v>323</v>
      </c>
      <c r="C291" s="414"/>
      <c r="D291" s="938" t="s">
        <v>413</v>
      </c>
      <c r="E291" s="938"/>
      <c r="F291" s="938"/>
      <c r="G291" s="37"/>
    </row>
    <row r="292" spans="1:7" ht="12.3">
      <c r="A292" s="233"/>
      <c r="B292" s="233"/>
      <c r="C292" s="414"/>
      <c r="D292" s="938"/>
      <c r="E292" s="938"/>
      <c r="F292" s="938"/>
      <c r="G292" s="37"/>
    </row>
    <row r="293" spans="1:7" ht="12.3">
      <c r="A293" s="414"/>
      <c r="B293" s="414"/>
      <c r="C293" s="414"/>
      <c r="D293" s="865"/>
      <c r="E293" s="37"/>
      <c r="F293" s="37"/>
      <c r="G293" s="37"/>
    </row>
    <row r="294" spans="1:7" ht="12.3">
      <c r="A294" s="964" t="s">
        <v>414</v>
      </c>
      <c r="B294" s="964"/>
      <c r="C294" s="964"/>
      <c r="D294" s="964"/>
      <c r="E294" s="964"/>
      <c r="F294" s="964"/>
      <c r="G294" s="964"/>
    </row>
    <row r="295" spans="1:7" ht="12.3">
      <c r="A295" s="414"/>
      <c r="B295" s="414"/>
      <c r="C295" s="414"/>
      <c r="D295" s="865"/>
      <c r="E295" s="37"/>
      <c r="F295" s="37"/>
      <c r="G295" s="37"/>
    </row>
    <row r="296" spans="1:7" ht="12.3">
      <c r="A296" s="414"/>
      <c r="B296" s="414"/>
      <c r="C296" s="511"/>
      <c r="D296" s="965" t="s">
        <v>415</v>
      </c>
      <c r="E296" s="965"/>
      <c r="F296" s="965"/>
      <c r="G296" s="37"/>
    </row>
    <row r="297" spans="1:7" ht="12.3">
      <c r="A297" s="167"/>
      <c r="B297" s="167"/>
      <c r="C297" s="167"/>
      <c r="D297" s="232"/>
      <c r="E297" s="37"/>
      <c r="F297" s="37"/>
      <c r="G297" s="37"/>
    </row>
    <row r="298" spans="1:7" ht="12.3">
      <c r="A298" s="168"/>
      <c r="B298" s="168"/>
      <c r="C298" s="168"/>
      <c r="D298" s="965" t="s">
        <v>416</v>
      </c>
      <c r="E298" s="965"/>
      <c r="F298" s="965"/>
      <c r="G298" s="37"/>
    </row>
    <row r="299" spans="1:7" ht="14.85" customHeight="1">
      <c r="A299" s="233"/>
      <c r="B299" s="529" t="s">
        <v>325</v>
      </c>
      <c r="C299" s="414"/>
      <c r="D299" s="938" t="s">
        <v>417</v>
      </c>
      <c r="E299" s="938"/>
      <c r="F299" s="938"/>
      <c r="G299" s="37"/>
    </row>
    <row r="300" spans="1:7" ht="12.3">
      <c r="A300" s="414"/>
      <c r="B300" s="414"/>
      <c r="C300" s="414"/>
      <c r="D300" s="938"/>
      <c r="E300" s="938"/>
      <c r="F300" s="938"/>
      <c r="G300" s="37"/>
    </row>
    <row r="301" spans="1:7" ht="12.3">
      <c r="A301" s="414"/>
      <c r="B301" s="414"/>
      <c r="C301" s="414"/>
      <c r="D301" s="938"/>
      <c r="E301" s="938"/>
      <c r="F301" s="938"/>
      <c r="G301" s="37"/>
    </row>
    <row r="302" spans="1:7" ht="12.3">
      <c r="A302" s="414"/>
      <c r="B302" s="414"/>
      <c r="C302" s="414"/>
      <c r="D302" s="178"/>
      <c r="E302" s="178"/>
      <c r="F302" s="178"/>
      <c r="G302" s="37"/>
    </row>
    <row r="303" spans="1:7" s="377" customFormat="1" ht="14.85" customHeight="1">
      <c r="A303" s="249"/>
      <c r="B303" s="529" t="s">
        <v>325</v>
      </c>
      <c r="C303" s="706"/>
      <c r="D303" s="972" t="s">
        <v>418</v>
      </c>
      <c r="E303" s="972"/>
      <c r="F303" s="972"/>
      <c r="G303" s="707"/>
    </row>
    <row r="304" spans="1:7" s="377" customFormat="1" ht="12.3">
      <c r="A304" s="706"/>
      <c r="B304" s="706"/>
      <c r="C304" s="706"/>
      <c r="D304" s="972"/>
      <c r="E304" s="972"/>
      <c r="F304" s="972"/>
      <c r="G304" s="707"/>
    </row>
    <row r="305" spans="1:7" s="377" customFormat="1" ht="12.3">
      <c r="A305" s="706"/>
      <c r="B305" s="706"/>
      <c r="C305" s="706"/>
      <c r="D305" s="972"/>
      <c r="E305" s="972"/>
      <c r="F305" s="972"/>
      <c r="G305" s="707"/>
    </row>
    <row r="306" spans="1:7" s="377" customFormat="1" ht="12.3">
      <c r="A306" s="706"/>
      <c r="B306" s="706"/>
      <c r="C306" s="706"/>
      <c r="E306" s="303" t="s">
        <v>419</v>
      </c>
      <c r="F306" s="303"/>
      <c r="G306" s="707"/>
    </row>
    <row r="307" spans="1:7" ht="12.3">
      <c r="A307" s="414"/>
      <c r="B307" s="414"/>
      <c r="C307" s="414"/>
      <c r="D307" s="866"/>
      <c r="E307" s="37"/>
      <c r="F307" s="37"/>
      <c r="G307" s="37"/>
    </row>
    <row r="308" spans="1:7" ht="12.3">
      <c r="A308" s="964" t="s">
        <v>420</v>
      </c>
      <c r="B308" s="964"/>
      <c r="C308" s="964"/>
      <c r="D308" s="964"/>
      <c r="E308" s="964"/>
      <c r="F308" s="964"/>
      <c r="G308" s="964"/>
    </row>
    <row r="309" spans="1:7" ht="12.3">
      <c r="A309" s="414"/>
      <c r="B309" s="414"/>
      <c r="C309" s="414"/>
      <c r="D309" s="866"/>
      <c r="E309" s="37"/>
      <c r="F309" s="37"/>
      <c r="G309" s="37"/>
    </row>
    <row r="310" spans="1:7" ht="12.3">
      <c r="A310" s="414"/>
      <c r="B310" s="414"/>
      <c r="C310" s="167"/>
      <c r="D310" s="966" t="s">
        <v>421</v>
      </c>
      <c r="E310" s="966"/>
      <c r="F310" s="966"/>
      <c r="G310" s="37"/>
    </row>
    <row r="311" spans="1:7" ht="12.3">
      <c r="A311" s="414"/>
      <c r="B311" s="414"/>
      <c r="C311" s="167"/>
      <c r="D311" s="966"/>
      <c r="E311" s="966"/>
      <c r="F311" s="966"/>
      <c r="G311" s="37"/>
    </row>
    <row r="312" spans="1:7" ht="12.3">
      <c r="A312" s="168"/>
      <c r="B312" s="168"/>
      <c r="C312" s="168"/>
      <c r="D312" s="3"/>
      <c r="E312" s="37"/>
      <c r="F312" s="37"/>
      <c r="G312" s="37"/>
    </row>
    <row r="313" spans="1:7" ht="12.3">
      <c r="A313" s="414"/>
      <c r="B313" s="414"/>
      <c r="C313" s="168"/>
      <c r="D313" s="965" t="s">
        <v>422</v>
      </c>
      <c r="E313" s="965"/>
      <c r="F313" s="965"/>
      <c r="G313" s="37"/>
    </row>
    <row r="314" spans="1:7" ht="12.3">
      <c r="A314" s="233"/>
      <c r="B314" s="233"/>
      <c r="C314" s="414"/>
      <c r="D314" s="976" t="s">
        <v>423</v>
      </c>
      <c r="E314" s="976"/>
      <c r="F314" s="976"/>
      <c r="G314" s="37"/>
    </row>
    <row r="315" spans="1:7" ht="12" customHeight="1">
      <c r="A315" s="414"/>
      <c r="B315" s="414"/>
      <c r="C315" s="414"/>
      <c r="D315" s="37"/>
      <c r="E315" s="37"/>
      <c r="F315" s="37"/>
      <c r="G315" s="37"/>
    </row>
    <row r="316" spans="1:7" ht="14.85" customHeight="1">
      <c r="A316" s="233"/>
      <c r="B316" s="529" t="s">
        <v>325</v>
      </c>
      <c r="C316" s="414"/>
      <c r="D316" s="938" t="s">
        <v>424</v>
      </c>
      <c r="E316" s="938"/>
      <c r="F316" s="938"/>
      <c r="G316" s="37"/>
    </row>
    <row r="317" spans="1:7" ht="12.3">
      <c r="A317" s="233"/>
      <c r="B317" s="233"/>
      <c r="C317" s="414"/>
      <c r="D317" s="938"/>
      <c r="E317" s="938"/>
      <c r="F317" s="938"/>
      <c r="G317" s="37"/>
    </row>
    <row r="318" spans="1:7" ht="12.3">
      <c r="A318" s="414"/>
      <c r="B318" s="414"/>
      <c r="C318" s="414"/>
      <c r="D318" s="37"/>
      <c r="E318" s="37"/>
      <c r="F318" s="37"/>
      <c r="G318" s="37"/>
    </row>
    <row r="319" spans="1:7" ht="14.85" customHeight="1">
      <c r="A319" s="233"/>
      <c r="B319" s="529" t="s">
        <v>325</v>
      </c>
      <c r="C319" s="414"/>
      <c r="D319" s="938" t="s">
        <v>425</v>
      </c>
      <c r="E319" s="938"/>
      <c r="F319" s="938"/>
      <c r="G319" s="37"/>
    </row>
    <row r="320" spans="1:7" ht="12.3">
      <c r="A320" s="233"/>
      <c r="B320" s="233"/>
      <c r="C320" s="414"/>
      <c r="D320" s="938"/>
      <c r="E320" s="938"/>
      <c r="F320" s="938"/>
      <c r="G320" s="37"/>
    </row>
    <row r="321" spans="1:7" ht="12.3">
      <c r="A321" s="233"/>
      <c r="B321" s="233"/>
      <c r="C321" s="414"/>
      <c r="D321" s="938"/>
      <c r="E321" s="938"/>
      <c r="F321" s="938"/>
      <c r="G321" s="37"/>
    </row>
    <row r="322" spans="1:7" ht="12.3">
      <c r="A322" s="414"/>
      <c r="B322" s="414"/>
      <c r="C322" s="414"/>
      <c r="D322" s="232"/>
      <c r="E322"/>
      <c r="F322"/>
      <c r="G322"/>
    </row>
    <row r="323" spans="1:7" ht="12.3">
      <c r="A323" s="233"/>
      <c r="B323" s="529" t="s">
        <v>325</v>
      </c>
      <c r="C323" s="414"/>
      <c r="D323" s="938" t="s">
        <v>426</v>
      </c>
      <c r="E323" s="938"/>
      <c r="F323" s="938"/>
      <c r="G323" s="37"/>
    </row>
    <row r="324" spans="1:7" ht="12.3">
      <c r="A324" s="233"/>
      <c r="B324" s="233"/>
      <c r="C324" s="414"/>
      <c r="D324" s="938"/>
      <c r="E324" s="938"/>
      <c r="F324" s="938"/>
      <c r="G324" s="37"/>
    </row>
    <row r="325" spans="1:7" ht="12.3">
      <c r="A325" s="18"/>
      <c r="B325" s="18"/>
      <c r="C325" s="414"/>
      <c r="D325" s="232"/>
      <c r="E325" s="37"/>
      <c r="F325" s="37"/>
      <c r="G325" s="37"/>
    </row>
    <row r="326" spans="1:7" ht="12.3">
      <c r="A326" s="964" t="s">
        <v>427</v>
      </c>
      <c r="B326" s="964"/>
      <c r="C326" s="964"/>
      <c r="D326" s="964"/>
      <c r="E326" s="964"/>
      <c r="F326" s="964"/>
      <c r="G326" s="964"/>
    </row>
    <row r="327" spans="1:7" ht="12.3">
      <c r="A327" s="18"/>
      <c r="B327" s="18"/>
      <c r="C327" s="414"/>
      <c r="D327" s="232"/>
      <c r="E327" s="37"/>
      <c r="F327" s="37"/>
      <c r="G327"/>
    </row>
    <row r="328" spans="1:7" ht="12.3">
      <c r="A328" s="414"/>
      <c r="B328" s="414"/>
      <c r="C328" s="18"/>
      <c r="D328" s="965" t="s">
        <v>428</v>
      </c>
      <c r="E328" s="965"/>
      <c r="F328" s="965"/>
      <c r="G328"/>
    </row>
    <row r="329" spans="1:7" ht="12.3">
      <c r="A329" s="414"/>
      <c r="B329" s="414"/>
      <c r="C329" s="18"/>
      <c r="D329" s="960" t="s">
        <v>429</v>
      </c>
      <c r="E329" s="960"/>
      <c r="F329" s="960"/>
      <c r="G329"/>
    </row>
    <row r="330" spans="1:7" ht="12.3">
      <c r="A330" s="414"/>
      <c r="B330" s="414"/>
      <c r="C330" s="18"/>
      <c r="D330" s="160"/>
      <c r="E330" s="37"/>
      <c r="F330" s="37"/>
      <c r="G330"/>
    </row>
    <row r="331" spans="1:7" ht="12.3">
      <c r="A331" s="414"/>
      <c r="B331" s="529" t="s">
        <v>325</v>
      </c>
      <c r="C331" s="414"/>
      <c r="D331" s="960" t="s">
        <v>430</v>
      </c>
      <c r="E331" s="960"/>
      <c r="F331" s="960"/>
      <c r="G331"/>
    </row>
    <row r="332" spans="1:7" ht="12.3">
      <c r="A332" s="233"/>
      <c r="B332" s="233"/>
      <c r="C332" s="414"/>
      <c r="D332" s="351"/>
      <c r="E332" s="37"/>
      <c r="F332" s="37"/>
      <c r="G332"/>
    </row>
    <row r="333" spans="1:7" ht="12.3">
      <c r="A333" s="233"/>
      <c r="B333" s="529" t="s">
        <v>325</v>
      </c>
      <c r="C333" s="414"/>
      <c r="D333" s="960" t="s">
        <v>431</v>
      </c>
      <c r="E333" s="960"/>
      <c r="F333" s="960"/>
      <c r="G333"/>
    </row>
    <row r="334" spans="1:7" ht="12.3">
      <c r="A334" s="414"/>
      <c r="B334" s="414"/>
      <c r="C334" s="414"/>
      <c r="D334" s="37"/>
      <c r="E334" s="37"/>
      <c r="F334" s="37"/>
      <c r="G334"/>
    </row>
    <row r="335" spans="1:7" ht="14.85" customHeight="1">
      <c r="A335" s="233"/>
      <c r="B335" s="529" t="s">
        <v>325</v>
      </c>
      <c r="C335" s="414"/>
      <c r="D335" s="938" t="s">
        <v>432</v>
      </c>
      <c r="E335" s="938"/>
      <c r="F335" s="938"/>
      <c r="G335"/>
    </row>
    <row r="336" spans="1:7" ht="12.3">
      <c r="A336" s="233"/>
      <c r="B336" s="233"/>
      <c r="C336" s="414"/>
      <c r="D336" s="938"/>
      <c r="E336" s="938"/>
      <c r="F336" s="938"/>
      <c r="G336"/>
    </row>
    <row r="337" spans="1:7" ht="12.3">
      <c r="A337" s="233"/>
      <c r="B337" s="233"/>
      <c r="C337" s="414"/>
      <c r="D337" s="938"/>
      <c r="E337" s="938"/>
      <c r="F337" s="938"/>
      <c r="G337"/>
    </row>
    <row r="338" spans="1:7" ht="12.3">
      <c r="A338" s="233"/>
      <c r="B338" s="233"/>
      <c r="C338" s="414"/>
      <c r="D338" s="938"/>
      <c r="E338" s="938"/>
      <c r="F338" s="938"/>
      <c r="G338"/>
    </row>
    <row r="339" spans="1:7" ht="12.3">
      <c r="A339" s="233"/>
      <c r="B339" s="233"/>
      <c r="C339" s="414"/>
      <c r="D339" s="938"/>
      <c r="E339" s="938"/>
      <c r="F339" s="938"/>
      <c r="G339"/>
    </row>
    <row r="340" spans="1:7" ht="12.3">
      <c r="A340" s="233"/>
      <c r="B340" s="233"/>
      <c r="C340" s="414"/>
      <c r="D340" s="938"/>
      <c r="E340" s="938"/>
      <c r="F340" s="938"/>
      <c r="G340"/>
    </row>
    <row r="341" spans="1:7" ht="12.3">
      <c r="A341" s="233"/>
      <c r="B341" s="233"/>
      <c r="C341" s="414"/>
      <c r="D341" s="938"/>
      <c r="E341" s="938"/>
      <c r="F341" s="938"/>
      <c r="G341"/>
    </row>
    <row r="342" spans="1:7" ht="12.3">
      <c r="A342" s="233"/>
      <c r="B342" s="233"/>
      <c r="C342" s="414"/>
      <c r="D342" s="938"/>
      <c r="E342" s="938"/>
      <c r="F342" s="938"/>
      <c r="G342"/>
    </row>
    <row r="343" spans="1:7" ht="12.3">
      <c r="A343" s="233"/>
      <c r="B343" s="233"/>
      <c r="C343" s="414"/>
      <c r="D343" s="938"/>
      <c r="E343" s="938"/>
      <c r="F343" s="938"/>
      <c r="G343" s="37"/>
    </row>
    <row r="344" spans="1:7" ht="12.3">
      <c r="A344" s="233"/>
      <c r="B344" s="233"/>
      <c r="C344" s="414"/>
      <c r="D344" s="938"/>
      <c r="E344" s="938"/>
      <c r="F344" s="938"/>
      <c r="G344" s="37"/>
    </row>
    <row r="345" spans="1:7" ht="12.3">
      <c r="A345" s="233"/>
      <c r="B345" s="233"/>
      <c r="C345" s="414"/>
      <c r="D345" s="938"/>
      <c r="E345" s="938"/>
      <c r="F345" s="938"/>
      <c r="G345" s="37"/>
    </row>
    <row r="346" spans="1:7" ht="12.3">
      <c r="A346" s="233"/>
      <c r="B346" s="233"/>
      <c r="C346" s="414"/>
      <c r="D346" s="938"/>
      <c r="E346" s="938"/>
      <c r="F346" s="938"/>
      <c r="G346" s="37"/>
    </row>
    <row r="347" spans="1:7" ht="12.3">
      <c r="A347" s="233"/>
      <c r="B347" s="233"/>
      <c r="C347" s="414"/>
      <c r="D347" s="938"/>
      <c r="E347" s="938"/>
      <c r="F347" s="938"/>
      <c r="G347" s="37"/>
    </row>
    <row r="348" spans="1:7" ht="12.3">
      <c r="A348" s="233"/>
      <c r="B348" s="233"/>
      <c r="C348" s="414"/>
      <c r="D348" s="938"/>
      <c r="E348" s="938"/>
      <c r="F348" s="938"/>
      <c r="G348" s="37"/>
    </row>
    <row r="349" spans="1:7" ht="12.3">
      <c r="A349" s="233"/>
      <c r="B349" s="233"/>
      <c r="C349" s="414"/>
      <c r="D349" s="938"/>
      <c r="E349" s="938"/>
      <c r="F349" s="938"/>
      <c r="G349" s="37"/>
    </row>
    <row r="350" spans="1:7" ht="12.3">
      <c r="A350" s="414"/>
      <c r="B350" s="414"/>
      <c r="C350" s="414"/>
      <c r="D350" s="37"/>
      <c r="E350" s="37"/>
      <c r="F350" s="37"/>
      <c r="G350" s="37"/>
    </row>
    <row r="351" spans="1:7" ht="14.85" customHeight="1">
      <c r="A351" s="233"/>
      <c r="B351" s="529" t="s">
        <v>325</v>
      </c>
      <c r="C351" s="414"/>
      <c r="D351" s="938" t="s">
        <v>433</v>
      </c>
      <c r="E351" s="938"/>
      <c r="F351" s="938"/>
      <c r="G351" s="37"/>
    </row>
    <row r="352" spans="1:7" ht="12.3">
      <c r="A352" s="414"/>
      <c r="B352" s="414"/>
      <c r="C352" s="414"/>
      <c r="D352" s="938"/>
      <c r="E352" s="938"/>
      <c r="F352" s="938"/>
      <c r="G352" s="37"/>
    </row>
    <row r="353" spans="1:6" ht="12.3">
      <c r="A353" s="414"/>
      <c r="B353" s="414"/>
      <c r="C353" s="414"/>
      <c r="D353" s="938"/>
      <c r="E353" s="938"/>
      <c r="F353" s="938"/>
    </row>
    <row r="354" spans="1:6" ht="12.3">
      <c r="A354" s="414"/>
      <c r="B354" s="414"/>
      <c r="C354" s="414"/>
      <c r="D354" s="938"/>
      <c r="E354" s="938"/>
      <c r="F354" s="938"/>
    </row>
    <row r="355" spans="1:6" ht="12.3">
      <c r="A355" s="414"/>
      <c r="B355" s="414"/>
      <c r="C355" s="414"/>
      <c r="D355" s="938"/>
      <c r="E355" s="938"/>
      <c r="F355" s="938"/>
    </row>
    <row r="356" spans="1:6" ht="12.3">
      <c r="A356" s="414"/>
      <c r="B356" s="414"/>
      <c r="C356" s="414"/>
      <c r="D356" s="938"/>
      <c r="E356" s="938"/>
      <c r="F356" s="938"/>
    </row>
    <row r="357" spans="1:6" ht="12.3">
      <c r="A357" s="414"/>
      <c r="B357" s="414"/>
      <c r="C357" s="414"/>
      <c r="D357" s="938"/>
      <c r="E357" s="938"/>
      <c r="F357" s="938"/>
    </row>
    <row r="358" spans="1:6" ht="12.3">
      <c r="A358" s="414"/>
      <c r="B358" s="414"/>
      <c r="C358" s="414"/>
      <c r="D358" s="938"/>
      <c r="E358" s="938"/>
      <c r="F358" s="938"/>
    </row>
    <row r="359" spans="1:6" ht="12.3">
      <c r="A359" s="414"/>
      <c r="B359" s="414"/>
      <c r="C359" s="414"/>
      <c r="D359" s="938"/>
      <c r="E359" s="938"/>
      <c r="F359" s="938"/>
    </row>
    <row r="360" spans="1:6" ht="12.3">
      <c r="A360" s="414"/>
      <c r="B360" s="414"/>
      <c r="C360" s="414"/>
      <c r="D360" s="37"/>
      <c r="E360" s="232"/>
      <c r="F360" s="232"/>
    </row>
    <row r="361" spans="1:6" ht="14.25" customHeight="1">
      <c r="A361" s="233"/>
      <c r="B361" s="529" t="s">
        <v>325</v>
      </c>
      <c r="C361" s="414"/>
      <c r="D361" s="955" t="s">
        <v>434</v>
      </c>
      <c r="E361" s="955"/>
      <c r="F361" s="955"/>
    </row>
    <row r="362" spans="1:6" ht="12.3">
      <c r="A362" s="414"/>
      <c r="B362" s="414"/>
      <c r="C362" s="414"/>
      <c r="D362" s="955"/>
      <c r="E362" s="955"/>
      <c r="F362" s="955"/>
    </row>
    <row r="363" spans="1:6" ht="12.3">
      <c r="A363" s="414"/>
      <c r="B363" s="414"/>
      <c r="C363" s="414"/>
      <c r="D363" s="955"/>
      <c r="E363" s="955"/>
      <c r="F363" s="955"/>
    </row>
    <row r="364" spans="1:6" ht="12.3">
      <c r="A364" s="414"/>
      <c r="B364" s="414"/>
      <c r="C364" s="414"/>
      <c r="D364" s="955"/>
      <c r="E364" s="955"/>
      <c r="F364" s="955"/>
    </row>
    <row r="365" spans="1:6" ht="12.3">
      <c r="A365" s="414"/>
      <c r="B365" s="414"/>
      <c r="C365" s="414"/>
      <c r="D365" s="955"/>
      <c r="E365" s="955"/>
      <c r="F365" s="955"/>
    </row>
    <row r="366" spans="1:6" ht="12.3">
      <c r="A366" s="414"/>
      <c r="B366" s="414"/>
      <c r="C366" s="414"/>
      <c r="D366" s="684"/>
      <c r="E366" s="84" t="s">
        <v>435</v>
      </c>
      <c r="F366" s="684"/>
    </row>
    <row r="367" spans="1:6" ht="12.6" thickBot="1">
      <c r="A367" s="414"/>
      <c r="B367" s="414"/>
      <c r="C367" s="414"/>
      <c r="D367" s="685"/>
      <c r="E367" s="867"/>
      <c r="F367" s="867"/>
    </row>
    <row r="368" spans="1:6" ht="12.9" thickTop="1" thickBot="1">
      <c r="A368" s="414"/>
      <c r="B368" s="414"/>
      <c r="C368" s="414"/>
      <c r="D368" s="975" t="s">
        <v>436</v>
      </c>
      <c r="E368" s="975"/>
      <c r="F368" s="975"/>
    </row>
    <row r="369" spans="1:6" ht="12.6" thickTop="1">
      <c r="A369" s="414"/>
      <c r="B369" s="414"/>
      <c r="C369" s="414"/>
      <c r="D369" s="977" t="s">
        <v>437</v>
      </c>
      <c r="E369" s="977"/>
      <c r="F369" s="977"/>
    </row>
    <row r="370" spans="1:6" ht="12.3">
      <c r="A370" s="414"/>
      <c r="B370" s="414"/>
      <c r="C370" s="414"/>
      <c r="D370" s="232"/>
      <c r="E370" s="37"/>
      <c r="F370" s="37"/>
    </row>
    <row r="371" spans="1:6" ht="12.3">
      <c r="A371" s="233"/>
      <c r="B371" s="529" t="s">
        <v>325</v>
      </c>
      <c r="C371" s="296"/>
      <c r="D371" s="969" t="s">
        <v>438</v>
      </c>
      <c r="E371" s="969"/>
      <c r="F371" s="969"/>
    </row>
    <row r="372" spans="1:6" ht="12.3">
      <c r="A372" s="233"/>
      <c r="B372" s="233"/>
      <c r="C372" s="296"/>
      <c r="D372" s="351"/>
      <c r="E372" s="37"/>
      <c r="F372" s="37"/>
    </row>
    <row r="373" spans="1:6" ht="12.3">
      <c r="A373" s="233"/>
      <c r="B373" s="529" t="s">
        <v>325</v>
      </c>
      <c r="C373" s="296"/>
      <c r="D373" s="939" t="s">
        <v>439</v>
      </c>
      <c r="E373" s="959"/>
      <c r="F373" s="959"/>
    </row>
    <row r="374" spans="1:6" ht="12.3">
      <c r="A374" s="233"/>
      <c r="B374" s="233"/>
      <c r="C374" s="296"/>
      <c r="D374" s="959"/>
      <c r="E374" s="959"/>
      <c r="F374" s="959"/>
    </row>
    <row r="375" spans="1:6" ht="12.3">
      <c r="A375" s="233"/>
      <c r="B375" s="233"/>
      <c r="C375" s="296"/>
      <c r="D375" s="959"/>
      <c r="E375" s="959"/>
      <c r="F375" s="959"/>
    </row>
    <row r="376" spans="1:6" ht="12.3">
      <c r="A376" s="233"/>
      <c r="B376" s="233"/>
      <c r="C376" s="296"/>
      <c r="D376" s="959"/>
      <c r="E376" s="959"/>
      <c r="F376" s="959"/>
    </row>
    <row r="377" spans="1:6" ht="12.3">
      <c r="A377" s="233"/>
      <c r="B377" s="233"/>
      <c r="C377" s="296"/>
      <c r="D377" s="959"/>
      <c r="E377" s="959"/>
      <c r="F377" s="959"/>
    </row>
    <row r="378" spans="1:6" ht="12.3">
      <c r="A378" s="233"/>
      <c r="B378" s="233"/>
      <c r="C378" s="296"/>
      <c r="D378" s="959"/>
      <c r="E378" s="959"/>
      <c r="F378" s="959"/>
    </row>
    <row r="379" spans="1:6" ht="12.3">
      <c r="A379" s="233"/>
      <c r="B379" s="233"/>
      <c r="C379" s="296"/>
      <c r="D379" s="959"/>
      <c r="E379" s="959"/>
      <c r="F379" s="959"/>
    </row>
    <row r="380" spans="1:6" ht="12.3">
      <c r="A380" s="233"/>
      <c r="B380" s="233"/>
      <c r="C380" s="296"/>
      <c r="D380" s="959"/>
      <c r="E380" s="959"/>
      <c r="F380" s="959"/>
    </row>
    <row r="381" spans="1:6" ht="12.3">
      <c r="A381" s="233"/>
      <c r="B381" s="233"/>
      <c r="C381" s="296"/>
      <c r="D381" s="959"/>
      <c r="E381" s="959"/>
      <c r="F381" s="959"/>
    </row>
    <row r="382" spans="1:6" ht="12.3">
      <c r="A382" s="233"/>
      <c r="B382" s="233"/>
      <c r="C382" s="296"/>
      <c r="D382" s="959"/>
      <c r="E382" s="959"/>
      <c r="F382" s="959"/>
    </row>
    <row r="383" spans="1:6" ht="12.3">
      <c r="A383" s="233"/>
      <c r="B383" s="233"/>
      <c r="C383" s="296"/>
      <c r="D383" s="546"/>
      <c r="E383" s="546"/>
      <c r="F383" s="546"/>
    </row>
    <row r="384" spans="1:6" ht="12.3">
      <c r="A384" s="233"/>
      <c r="B384" s="529" t="s">
        <v>325</v>
      </c>
      <c r="C384" s="296"/>
      <c r="D384" s="959" t="s">
        <v>440</v>
      </c>
      <c r="E384" s="959"/>
      <c r="F384" s="959"/>
    </row>
    <row r="385" spans="1:6" ht="12.3">
      <c r="A385" s="296"/>
      <c r="B385" s="296"/>
      <c r="C385" s="296"/>
      <c r="D385" s="959"/>
      <c r="E385" s="959"/>
      <c r="F385" s="959"/>
    </row>
    <row r="386" spans="1:6" ht="12.3">
      <c r="A386" s="296"/>
      <c r="B386" s="296"/>
      <c r="C386" s="296"/>
      <c r="D386" s="959"/>
      <c r="E386" s="959"/>
      <c r="F386" s="959"/>
    </row>
    <row r="387" spans="1:6" ht="12.3">
      <c r="A387" s="296"/>
      <c r="B387" s="296"/>
      <c r="C387" s="296"/>
      <c r="D387" s="959"/>
      <c r="E387" s="959"/>
      <c r="F387" s="959"/>
    </row>
    <row r="388" spans="1:6" ht="12.3">
      <c r="A388" s="296"/>
      <c r="B388" s="296"/>
      <c r="C388" s="296"/>
      <c r="D388" s="546"/>
      <c r="E388" s="546"/>
      <c r="F388" s="546"/>
    </row>
    <row r="389" spans="1:6" ht="12.3">
      <c r="A389" s="296"/>
      <c r="B389" s="296"/>
      <c r="C389" s="296"/>
      <c r="D389" s="959" t="s">
        <v>441</v>
      </c>
      <c r="E389" s="959"/>
      <c r="F389" s="959"/>
    </row>
    <row r="390" spans="1:6" ht="12.3">
      <c r="A390" s="296"/>
      <c r="B390" s="296"/>
      <c r="C390" s="296"/>
      <c r="D390" s="959"/>
      <c r="E390" s="959"/>
      <c r="F390" s="959"/>
    </row>
    <row r="391" spans="1:6" ht="12.3">
      <c r="A391" s="296"/>
      <c r="B391" s="296"/>
      <c r="C391" s="296"/>
      <c r="D391" s="959"/>
      <c r="E391" s="959"/>
      <c r="F391" s="959"/>
    </row>
    <row r="392" spans="1:6" ht="12.3">
      <c r="A392" s="296"/>
      <c r="B392" s="296"/>
      <c r="C392" s="296"/>
      <c r="D392" s="959"/>
      <c r="E392" s="959"/>
      <c r="F392" s="959"/>
    </row>
    <row r="393" spans="1:6" ht="12.3">
      <c r="A393" s="296"/>
      <c r="B393" s="296"/>
      <c r="C393" s="296"/>
      <c r="D393" s="959"/>
      <c r="E393" s="959"/>
      <c r="F393" s="959"/>
    </row>
    <row r="394" spans="1:6" ht="12.3">
      <c r="A394" s="296"/>
      <c r="B394" s="296"/>
      <c r="C394" s="296"/>
      <c r="D394" s="959"/>
      <c r="E394" s="959"/>
      <c r="F394" s="959"/>
    </row>
    <row r="395" spans="1:6" ht="12.3">
      <c r="A395" s="296"/>
      <c r="B395" s="296"/>
      <c r="C395" s="296"/>
      <c r="D395" s="959"/>
      <c r="E395" s="959"/>
      <c r="F395" s="959"/>
    </row>
    <row r="396" spans="1:6" ht="12.3">
      <c r="A396" s="296"/>
      <c r="B396" s="296"/>
      <c r="C396" s="296"/>
      <c r="D396" s="959"/>
      <c r="E396" s="959"/>
      <c r="F396" s="959"/>
    </row>
    <row r="397" spans="1:6" ht="12.3">
      <c r="A397" s="296"/>
      <c r="B397" s="296"/>
      <c r="C397" s="296"/>
      <c r="D397" s="959"/>
      <c r="E397" s="959"/>
      <c r="F397" s="959"/>
    </row>
    <row r="398" spans="1:6" ht="14.1" customHeight="1">
      <c r="A398" s="296"/>
      <c r="B398" s="296"/>
      <c r="C398" s="296"/>
      <c r="D398" s="959" t="s">
        <v>442</v>
      </c>
      <c r="E398" s="959"/>
      <c r="F398" s="959"/>
    </row>
    <row r="399" spans="1:6" ht="14.1" customHeight="1">
      <c r="A399" s="296"/>
      <c r="B399" s="296"/>
      <c r="C399" s="296"/>
      <c r="D399" s="959"/>
      <c r="E399" s="959"/>
      <c r="F399" s="959"/>
    </row>
    <row r="400" spans="1:6" ht="14.1" customHeight="1">
      <c r="A400" s="296"/>
      <c r="B400" s="296"/>
      <c r="C400" s="296"/>
      <c r="D400" s="959"/>
      <c r="E400" s="959"/>
      <c r="F400" s="959"/>
    </row>
    <row r="401" spans="1:6" ht="14.1" customHeight="1">
      <c r="A401" s="296"/>
      <c r="B401" s="296"/>
      <c r="C401" s="296"/>
      <c r="D401" s="959"/>
      <c r="E401" s="959"/>
      <c r="F401" s="959"/>
    </row>
    <row r="402" spans="1:6" ht="14.1" customHeight="1">
      <c r="A402" s="296"/>
      <c r="B402" s="296"/>
      <c r="C402" s="296"/>
      <c r="D402" s="959"/>
      <c r="E402" s="959"/>
      <c r="F402" s="959"/>
    </row>
    <row r="403" spans="1:6" ht="14.1" customHeight="1">
      <c r="A403" s="296"/>
      <c r="B403" s="296"/>
      <c r="C403" s="296"/>
      <c r="D403" s="959"/>
      <c r="E403" s="959"/>
      <c r="F403" s="959"/>
    </row>
    <row r="404" spans="1:6" ht="14.1" customHeight="1">
      <c r="A404" s="296"/>
      <c r="B404" s="296"/>
      <c r="C404" s="296"/>
      <c r="D404" s="959"/>
      <c r="E404" s="959"/>
      <c r="F404" s="959"/>
    </row>
    <row r="405" spans="1:6" ht="14.1" customHeight="1">
      <c r="A405" s="296"/>
      <c r="B405" s="296"/>
      <c r="C405" s="296"/>
      <c r="D405" s="959"/>
      <c r="E405" s="959"/>
      <c r="F405" s="959"/>
    </row>
    <row r="406" spans="1:6" ht="14.1" customHeight="1">
      <c r="A406" s="296"/>
      <c r="B406" s="296"/>
      <c r="C406" s="296"/>
      <c r="D406" s="959"/>
      <c r="E406" s="959"/>
      <c r="F406" s="959"/>
    </row>
    <row r="407" spans="1:6" ht="14.1" customHeight="1">
      <c r="A407" s="296"/>
      <c r="B407" s="296"/>
      <c r="C407" s="296"/>
      <c r="D407" s="959"/>
      <c r="E407" s="959"/>
      <c r="F407" s="959"/>
    </row>
    <row r="408" spans="1:6" ht="14.1" customHeight="1">
      <c r="A408" s="296"/>
      <c r="B408" s="296"/>
      <c r="C408" s="296"/>
      <c r="D408" s="959"/>
      <c r="E408" s="959"/>
      <c r="F408" s="959"/>
    </row>
    <row r="409" spans="1:6" ht="14.1" customHeight="1">
      <c r="A409" s="296"/>
      <c r="B409" s="296"/>
      <c r="C409" s="296"/>
      <c r="D409" s="959"/>
      <c r="E409" s="959"/>
      <c r="F409" s="959"/>
    </row>
    <row r="410" spans="1:6" ht="14.1" customHeight="1">
      <c r="A410" s="296"/>
      <c r="B410" s="296"/>
      <c r="C410" s="296"/>
      <c r="D410" s="959"/>
      <c r="E410" s="959"/>
      <c r="F410" s="959"/>
    </row>
    <row r="411" spans="1:6" ht="14.1" customHeight="1">
      <c r="A411" s="296"/>
      <c r="B411" s="296"/>
      <c r="C411" s="296"/>
      <c r="D411" s="959"/>
      <c r="E411" s="959"/>
      <c r="F411" s="959"/>
    </row>
    <row r="412" spans="1:6" ht="14.1" customHeight="1">
      <c r="A412" s="296"/>
      <c r="B412" s="296"/>
      <c r="C412" s="296"/>
      <c r="D412" s="959"/>
      <c r="E412" s="959"/>
      <c r="F412" s="959"/>
    </row>
    <row r="413" spans="1:6" ht="14.1" customHeight="1">
      <c r="A413" s="296"/>
      <c r="B413" s="296"/>
      <c r="C413" s="296"/>
      <c r="D413" s="959"/>
      <c r="E413" s="959"/>
      <c r="F413" s="959"/>
    </row>
    <row r="414" spans="1:6" ht="14.1" customHeight="1">
      <c r="A414" s="296"/>
      <c r="B414" s="296"/>
      <c r="C414" s="296"/>
      <c r="D414" s="959"/>
      <c r="E414" s="959"/>
      <c r="F414" s="959"/>
    </row>
    <row r="415" spans="1:6" ht="14.1" customHeight="1">
      <c r="A415" s="296"/>
      <c r="B415" s="296"/>
      <c r="C415" s="296"/>
      <c r="D415" s="959"/>
      <c r="E415" s="959"/>
      <c r="F415" s="959"/>
    </row>
    <row r="416" spans="1:6" ht="12.3">
      <c r="A416" s="296"/>
      <c r="B416" s="296"/>
      <c r="C416" s="296"/>
      <c r="D416" s="351"/>
      <c r="E416" s="37"/>
      <c r="F416" s="37"/>
    </row>
    <row r="417" spans="1:6" ht="14.1" customHeight="1">
      <c r="A417" s="296"/>
      <c r="B417" s="529" t="s">
        <v>325</v>
      </c>
      <c r="C417" s="296"/>
      <c r="D417" s="959" t="s">
        <v>443</v>
      </c>
      <c r="E417" s="959"/>
      <c r="F417" s="959"/>
    </row>
    <row r="418" spans="1:6" ht="12.3">
      <c r="A418" s="296"/>
      <c r="B418" s="296"/>
      <c r="C418" s="296"/>
      <c r="D418" s="959"/>
      <c r="E418" s="959"/>
      <c r="F418" s="959"/>
    </row>
    <row r="419" spans="1:6" ht="12.3">
      <c r="A419" s="296"/>
      <c r="B419" s="296"/>
      <c r="C419" s="296"/>
      <c r="D419" s="546"/>
      <c r="E419" s="546"/>
      <c r="F419" s="546"/>
    </row>
    <row r="420" spans="1:6" ht="12.3">
      <c r="A420" s="296"/>
      <c r="B420" s="529" t="s">
        <v>325</v>
      </c>
      <c r="C420" s="296"/>
      <c r="D420" s="961" t="s">
        <v>444</v>
      </c>
      <c r="E420" s="961"/>
      <c r="F420" s="961"/>
    </row>
    <row r="421" spans="1:6" ht="12.3">
      <c r="A421" s="296"/>
      <c r="B421" s="296"/>
      <c r="C421" s="296"/>
      <c r="D421" s="961"/>
      <c r="E421" s="961"/>
      <c r="F421" s="961"/>
    </row>
    <row r="422" spans="1:6" ht="12.3">
      <c r="A422" s="296"/>
      <c r="B422" s="296"/>
      <c r="C422" s="296"/>
      <c r="D422" s="961"/>
      <c r="E422" s="961"/>
      <c r="F422" s="961"/>
    </row>
    <row r="423" spans="1:6" ht="12.3">
      <c r="A423" s="296"/>
      <c r="B423" s="296"/>
      <c r="C423" s="296"/>
      <c r="D423" s="961"/>
      <c r="E423" s="961"/>
      <c r="F423" s="961"/>
    </row>
    <row r="424" spans="1:6" ht="12.3">
      <c r="A424" s="296"/>
      <c r="B424" s="296"/>
      <c r="C424" s="296"/>
      <c r="D424" s="961"/>
      <c r="E424" s="961"/>
      <c r="F424" s="961"/>
    </row>
    <row r="425" spans="1:6" ht="12.3">
      <c r="A425" s="296"/>
      <c r="B425" s="296"/>
      <c r="C425" s="296"/>
      <c r="D425" s="961"/>
      <c r="E425" s="961"/>
      <c r="F425" s="961"/>
    </row>
    <row r="426" spans="1:6" ht="14.85" customHeight="1">
      <c r="A426" s="233"/>
      <c r="B426" s="529" t="s">
        <v>325</v>
      </c>
      <c r="C426" s="296"/>
      <c r="D426" s="961" t="s">
        <v>445</v>
      </c>
      <c r="E426" s="961"/>
      <c r="F426" s="961"/>
    </row>
    <row r="427" spans="1:6" ht="12.3">
      <c r="A427" s="425"/>
      <c r="B427" s="425"/>
      <c r="C427" s="296"/>
      <c r="D427" s="961"/>
      <c r="E427" s="961"/>
      <c r="F427" s="961"/>
    </row>
    <row r="428" spans="1:6" ht="12.3">
      <c r="A428" s="425"/>
      <c r="B428" s="425"/>
      <c r="C428" s="296"/>
      <c r="D428" s="961"/>
      <c r="E428" s="961"/>
      <c r="F428" s="961"/>
    </row>
    <row r="429" spans="1:6" ht="12.3">
      <c r="A429" s="425"/>
      <c r="B429" s="425"/>
      <c r="C429" s="296"/>
      <c r="D429" s="961"/>
      <c r="E429" s="961"/>
      <c r="F429" s="961"/>
    </row>
    <row r="430" spans="1:6" ht="14.25" customHeight="1">
      <c r="A430" s="425"/>
      <c r="B430" s="425"/>
      <c r="C430" s="296"/>
      <c r="D430" s="962" t="s">
        <v>446</v>
      </c>
      <c r="E430" s="962"/>
      <c r="F430" s="962"/>
    </row>
    <row r="431" spans="1:6" ht="12.3">
      <c r="A431" s="414"/>
      <c r="B431" s="414"/>
      <c r="C431" s="414"/>
      <c r="D431" s="232"/>
      <c r="E431" s="37"/>
      <c r="F431" s="37"/>
    </row>
    <row r="432" spans="1:6" ht="14.85" customHeight="1">
      <c r="A432" s="233"/>
      <c r="B432" s="529" t="s">
        <v>325</v>
      </c>
      <c r="C432" s="868"/>
      <c r="D432" s="938" t="s">
        <v>447</v>
      </c>
      <c r="E432" s="938"/>
      <c r="F432" s="938"/>
    </row>
    <row r="433" spans="1:6" ht="12.3">
      <c r="A433" s="233"/>
      <c r="B433" s="233"/>
      <c r="C433" s="414"/>
      <c r="D433" s="938"/>
      <c r="E433" s="938"/>
      <c r="F433" s="938"/>
    </row>
    <row r="434" spans="1:6" ht="12.3">
      <c r="A434" s="233"/>
      <c r="B434" s="233"/>
      <c r="C434" s="414"/>
      <c r="D434" s="938"/>
      <c r="E434" s="938"/>
      <c r="F434" s="938"/>
    </row>
    <row r="435" spans="1:6" ht="12.3">
      <c r="A435" s="233"/>
      <c r="B435" s="233"/>
      <c r="C435" s="414"/>
      <c r="D435" s="938"/>
      <c r="E435" s="938"/>
      <c r="F435" s="938"/>
    </row>
    <row r="436" spans="1:6" ht="12.3">
      <c r="A436" s="233"/>
      <c r="B436" s="233"/>
      <c r="C436" s="414"/>
      <c r="D436" s="938"/>
      <c r="E436" s="938"/>
      <c r="F436" s="938"/>
    </row>
    <row r="437" spans="1:6" ht="12.3">
      <c r="A437" s="233"/>
      <c r="B437" s="233"/>
      <c r="C437" s="414"/>
      <c r="D437" s="938"/>
      <c r="E437" s="938"/>
      <c r="F437" s="938"/>
    </row>
    <row r="438" spans="1:6" ht="12.3">
      <c r="A438" s="233"/>
      <c r="B438" s="233"/>
      <c r="C438" s="414"/>
      <c r="D438" s="938"/>
      <c r="E438" s="938"/>
      <c r="F438" s="938"/>
    </row>
    <row r="439" spans="1:6" ht="12.3">
      <c r="A439" s="233"/>
      <c r="B439" s="233"/>
      <c r="C439" s="414"/>
      <c r="D439" s="938"/>
      <c r="E439" s="938"/>
      <c r="F439" s="938"/>
    </row>
    <row r="440" spans="1:6" ht="12.3">
      <c r="A440" s="233"/>
      <c r="B440" s="233"/>
      <c r="C440" s="414"/>
      <c r="D440" s="938"/>
      <c r="E440" s="938"/>
      <c r="F440" s="938"/>
    </row>
    <row r="441" spans="1:6" ht="12.3">
      <c r="A441" s="233"/>
      <c r="B441" s="233"/>
      <c r="C441" s="414"/>
      <c r="D441" s="938"/>
      <c r="E441" s="938"/>
      <c r="F441" s="938"/>
    </row>
    <row r="442" spans="1:6" ht="12.3">
      <c r="A442" s="233"/>
      <c r="B442" s="233"/>
      <c r="C442" s="414"/>
      <c r="D442" s="938"/>
      <c r="E442" s="938"/>
      <c r="F442" s="938"/>
    </row>
    <row r="443" spans="1:6" ht="12.3">
      <c r="A443" s="233"/>
      <c r="B443" s="233"/>
      <c r="C443" s="414"/>
      <c r="D443" s="938"/>
      <c r="E443" s="938"/>
      <c r="F443" s="938"/>
    </row>
    <row r="444" spans="1:6" ht="12.3">
      <c r="A444" s="233"/>
      <c r="B444" s="233"/>
      <c r="C444" s="414"/>
      <c r="D444" s="938"/>
      <c r="E444" s="938"/>
      <c r="F444" s="938"/>
    </row>
    <row r="445" spans="1:6" ht="12.3">
      <c r="A445" s="233"/>
      <c r="B445" s="233"/>
      <c r="C445" s="414"/>
      <c r="D445" s="938"/>
      <c r="E445" s="938"/>
      <c r="F445" s="938"/>
    </row>
    <row r="446" spans="1:6" ht="12.3">
      <c r="A446" s="233"/>
      <c r="B446" s="233"/>
      <c r="C446" s="414"/>
      <c r="D446" s="938"/>
      <c r="E446" s="938"/>
      <c r="F446" s="938"/>
    </row>
    <row r="447" spans="1:6" ht="12.3">
      <c r="A447" s="233"/>
      <c r="B447" s="233"/>
      <c r="C447" s="414"/>
      <c r="D447" s="938"/>
      <c r="E447" s="938"/>
      <c r="F447" s="938"/>
    </row>
    <row r="448" spans="1:6" ht="12.3">
      <c r="A448" s="233"/>
      <c r="B448" s="233"/>
      <c r="C448" s="414"/>
      <c r="D448" s="938"/>
      <c r="E448" s="938"/>
      <c r="F448" s="938"/>
    </row>
    <row r="449" spans="1:6" ht="12.3">
      <c r="A449" s="233"/>
      <c r="B449" s="233"/>
      <c r="C449" s="414"/>
      <c r="D449" s="938"/>
      <c r="E449" s="938"/>
      <c r="F449" s="938"/>
    </row>
    <row r="450" spans="1:6" ht="12.3">
      <c r="A450" s="233"/>
      <c r="B450" s="233"/>
      <c r="C450" s="414"/>
      <c r="D450" s="938"/>
      <c r="E450" s="938"/>
      <c r="F450" s="938"/>
    </row>
    <row r="451" spans="1:6" ht="12.3">
      <c r="A451" s="233"/>
      <c r="B451" s="233"/>
      <c r="C451" s="414"/>
      <c r="D451" s="938"/>
      <c r="E451" s="938"/>
      <c r="F451" s="938"/>
    </row>
    <row r="452" spans="1:6" ht="12.3">
      <c r="A452" s="233"/>
      <c r="B452" s="233"/>
      <c r="C452" s="414"/>
      <c r="D452" s="938"/>
      <c r="E452" s="938"/>
      <c r="F452" s="938"/>
    </row>
    <row r="453" spans="1:6" ht="12.3">
      <c r="A453" s="233"/>
      <c r="B453" s="233"/>
      <c r="C453" s="414"/>
      <c r="D453" s="938"/>
      <c r="E453" s="938"/>
      <c r="F453" s="938"/>
    </row>
    <row r="454" spans="1:6" ht="12.3">
      <c r="A454" s="233"/>
      <c r="B454" s="233"/>
      <c r="C454" s="414"/>
      <c r="D454" s="938"/>
      <c r="E454" s="938"/>
      <c r="F454" s="938"/>
    </row>
    <row r="455" spans="1:6" ht="12.3">
      <c r="A455" s="233"/>
      <c r="B455" s="233"/>
      <c r="C455" s="414"/>
      <c r="D455" s="938"/>
      <c r="E455" s="938"/>
      <c r="F455" s="938"/>
    </row>
    <row r="456" spans="1:6" ht="12.3">
      <c r="A456" s="233"/>
      <c r="B456" s="233"/>
      <c r="C456" s="414"/>
      <c r="D456" s="938"/>
      <c r="E456" s="938"/>
      <c r="F456" s="938"/>
    </row>
    <row r="457" spans="1:6" ht="12.3">
      <c r="A457" s="233"/>
      <c r="B457" s="233"/>
      <c r="C457" s="414"/>
      <c r="D457" s="938"/>
      <c r="E457" s="938"/>
      <c r="F457" s="938"/>
    </row>
    <row r="458" spans="1:6" ht="12.3">
      <c r="A458" s="233"/>
      <c r="B458" s="233"/>
      <c r="C458" s="414"/>
      <c r="D458" s="938"/>
      <c r="E458" s="938"/>
      <c r="F458" s="938"/>
    </row>
    <row r="459" spans="1:6" ht="12.3">
      <c r="A459" s="233"/>
      <c r="B459" s="233"/>
      <c r="C459" s="414"/>
      <c r="D459" s="938"/>
      <c r="E459" s="938"/>
      <c r="F459" s="938"/>
    </row>
    <row r="460" spans="1:6" ht="12.3">
      <c r="A460" s="233"/>
      <c r="B460" s="233"/>
      <c r="C460" s="414"/>
      <c r="D460" s="938"/>
      <c r="E460" s="938"/>
      <c r="F460" s="938"/>
    </row>
    <row r="461" spans="1:6" ht="12.3">
      <c r="A461" s="233"/>
      <c r="B461" s="233"/>
      <c r="C461" s="414"/>
      <c r="D461" s="938"/>
      <c r="E461" s="938"/>
      <c r="F461" s="938"/>
    </row>
    <row r="462" spans="1:6" ht="12.3" hidden="1">
      <c r="A462" s="414"/>
      <c r="B462" s="414"/>
      <c r="C462" s="414"/>
      <c r="D462" s="938"/>
      <c r="E462" s="938"/>
      <c r="F462" s="938"/>
    </row>
    <row r="463" spans="1:6" ht="12.3" hidden="1">
      <c r="A463" s="414"/>
      <c r="B463" s="414"/>
      <c r="C463" s="414"/>
      <c r="D463" s="232"/>
      <c r="E463" s="37"/>
      <c r="F463" s="37"/>
    </row>
    <row r="464" spans="1:6" ht="12.3">
      <c r="A464" s="233"/>
      <c r="B464" s="529" t="s">
        <v>325</v>
      </c>
      <c r="C464" s="868"/>
      <c r="D464" s="960" t="s">
        <v>448</v>
      </c>
      <c r="E464" s="960"/>
      <c r="F464" s="960"/>
    </row>
    <row r="465" spans="1:6" ht="12.3">
      <c r="A465" s="414"/>
      <c r="B465" s="414"/>
      <c r="C465" s="414"/>
      <c r="D465"/>
      <c r="E465" s="833" t="s">
        <v>449</v>
      </c>
      <c r="F465" s="833"/>
    </row>
    <row r="466" spans="1:6" ht="14.1" customHeight="1">
      <c r="A466" s="414"/>
      <c r="B466" s="414"/>
      <c r="C466" s="414"/>
      <c r="D466" s="938" t="s">
        <v>450</v>
      </c>
      <c r="E466" s="938"/>
      <c r="F466" s="938"/>
    </row>
    <row r="467" spans="1:6" ht="14.1" customHeight="1">
      <c r="A467" s="414"/>
      <c r="B467" s="414"/>
      <c r="C467" s="414"/>
      <c r="D467" s="938"/>
      <c r="E467" s="938"/>
      <c r="F467" s="938"/>
    </row>
    <row r="468" spans="1:6" ht="12.3">
      <c r="A468" s="414"/>
      <c r="B468" s="414"/>
      <c r="C468" s="414"/>
      <c r="D468" s="232"/>
      <c r="E468" s="37"/>
      <c r="F468" s="37"/>
    </row>
    <row r="469" spans="1:6" ht="14.85" customHeight="1">
      <c r="A469" s="233"/>
      <c r="B469" s="529" t="s">
        <v>325</v>
      </c>
      <c r="C469" s="868"/>
      <c r="D469" s="938" t="s">
        <v>451</v>
      </c>
      <c r="E469" s="938"/>
      <c r="F469" s="938"/>
    </row>
    <row r="470" spans="1:6" ht="12.3">
      <c r="A470" s="414"/>
      <c r="B470" s="414"/>
      <c r="C470" s="414"/>
      <c r="D470" s="938"/>
      <c r="E470" s="938"/>
      <c r="F470" s="938"/>
    </row>
    <row r="471" spans="1:6" ht="12.3">
      <c r="A471" s="414"/>
      <c r="B471" s="414"/>
      <c r="C471" s="414"/>
      <c r="D471" s="938"/>
      <c r="E471" s="938"/>
      <c r="F471" s="938"/>
    </row>
    <row r="472" spans="1:6" ht="12.3">
      <c r="A472" s="414"/>
      <c r="B472" s="414"/>
      <c r="C472" s="414"/>
      <c r="D472" s="178"/>
      <c r="E472" s="178"/>
      <c r="F472" s="178"/>
    </row>
    <row r="473" spans="1:6" ht="12.3">
      <c r="A473" s="414"/>
      <c r="B473" s="529" t="s">
        <v>325</v>
      </c>
      <c r="C473" s="233"/>
      <c r="D473" s="938" t="s">
        <v>452</v>
      </c>
      <c r="E473" s="938"/>
      <c r="F473" s="938"/>
    </row>
    <row r="474" spans="1:6" ht="12.3">
      <c r="A474" s="414"/>
      <c r="B474" s="414"/>
      <c r="C474" s="414"/>
      <c r="D474" s="938"/>
      <c r="E474" s="938"/>
      <c r="F474" s="938"/>
    </row>
    <row r="475" spans="1:6" ht="12.3">
      <c r="A475" s="414"/>
      <c r="B475" s="414"/>
      <c r="C475" s="414"/>
      <c r="D475" s="232"/>
      <c r="E475" s="232"/>
      <c r="F475" s="37"/>
    </row>
    <row r="476" spans="1:6" ht="12.3">
      <c r="A476" s="414"/>
      <c r="B476" s="529" t="s">
        <v>325</v>
      </c>
      <c r="C476" s="233"/>
      <c r="D476" s="938" t="s">
        <v>453</v>
      </c>
      <c r="E476" s="938"/>
      <c r="F476" s="938"/>
    </row>
    <row r="477" spans="1:6" ht="12.3">
      <c r="A477" s="414"/>
      <c r="B477" s="414"/>
      <c r="C477" s="414"/>
      <c r="D477" s="938"/>
      <c r="E477" s="938"/>
      <c r="F477" s="938"/>
    </row>
    <row r="478" spans="1:6" ht="12.3">
      <c r="A478" s="414"/>
      <c r="B478" s="414"/>
      <c r="C478" s="414"/>
      <c r="D478" s="938"/>
      <c r="E478" s="938"/>
      <c r="F478" s="938"/>
    </row>
    <row r="479" spans="1:6" ht="12.3">
      <c r="A479" s="414"/>
      <c r="B479" s="414"/>
      <c r="C479" s="414"/>
      <c r="D479" s="938"/>
      <c r="E479" s="938"/>
      <c r="F479" s="938"/>
    </row>
    <row r="480" spans="1:6" ht="12.3">
      <c r="A480" s="414"/>
      <c r="B480" s="529" t="s">
        <v>325</v>
      </c>
      <c r="C480" s="414"/>
      <c r="D480" s="938"/>
      <c r="E480" s="938"/>
      <c r="F480" s="938"/>
    </row>
    <row r="481" spans="2:6" ht="12.3">
      <c r="B481" s="414"/>
      <c r="C481" s="414"/>
      <c r="D481" s="938"/>
      <c r="E481" s="938"/>
      <c r="F481" s="938"/>
    </row>
    <row r="482" spans="2:6" ht="12.3">
      <c r="B482" s="414"/>
      <c r="C482" s="414"/>
      <c r="D482" s="938"/>
      <c r="E482" s="938"/>
      <c r="F482" s="938"/>
    </row>
    <row r="483" spans="2:6" ht="12.3">
      <c r="B483" s="529" t="s">
        <v>325</v>
      </c>
      <c r="C483" s="414"/>
      <c r="D483" s="938"/>
      <c r="E483" s="938"/>
      <c r="F483" s="938"/>
    </row>
    <row r="484" spans="2:6" ht="12.3">
      <c r="B484" s="414"/>
      <c r="C484" s="414"/>
      <c r="D484" s="938"/>
      <c r="E484" s="938"/>
      <c r="F484" s="938"/>
    </row>
    <row r="485" spans="2:6" ht="12.3">
      <c r="B485" s="414"/>
      <c r="C485" s="414"/>
      <c r="D485" s="938"/>
      <c r="E485" s="938"/>
      <c r="F485" s="938"/>
    </row>
    <row r="486" spans="2:6" ht="12.3">
      <c r="B486" s="414"/>
      <c r="C486" s="414"/>
      <c r="D486" s="938"/>
      <c r="E486" s="938"/>
      <c r="F486" s="938"/>
    </row>
    <row r="487" spans="2:6" ht="12.3">
      <c r="B487" s="529" t="s">
        <v>325</v>
      </c>
      <c r="C487" s="414"/>
      <c r="D487" s="938"/>
      <c r="E487" s="938"/>
      <c r="F487" s="938"/>
    </row>
    <row r="488" spans="2:6" ht="12.3">
      <c r="B488" s="414"/>
      <c r="C488" s="414"/>
      <c r="D488" s="938"/>
      <c r="E488" s="938"/>
      <c r="F488" s="938"/>
    </row>
    <row r="489" spans="2:6" ht="12.3">
      <c r="B489" s="529" t="s">
        <v>325</v>
      </c>
      <c r="C489" s="414"/>
      <c r="D489" s="938"/>
      <c r="E489" s="938"/>
      <c r="F489" s="938"/>
    </row>
    <row r="490" spans="2:6" ht="12.3">
      <c r="B490" s="414"/>
      <c r="C490" s="414"/>
      <c r="D490" s="938"/>
      <c r="E490" s="938"/>
      <c r="F490" s="938"/>
    </row>
    <row r="491" spans="2:6" ht="14.1" customHeight="1">
      <c r="B491" s="529" t="s">
        <v>325</v>
      </c>
      <c r="C491" s="414"/>
      <c r="D491" s="938" t="s">
        <v>454</v>
      </c>
      <c r="E491" s="938"/>
      <c r="F491" s="938"/>
    </row>
    <row r="492" spans="2:6" ht="12.3">
      <c r="B492" s="414"/>
      <c r="C492" s="414"/>
      <c r="D492" s="938"/>
      <c r="E492" s="938"/>
      <c r="F492" s="938"/>
    </row>
    <row r="493" spans="2:6" ht="12.3">
      <c r="B493" s="414"/>
      <c r="C493" s="414"/>
      <c r="D493" s="938"/>
      <c r="E493" s="938"/>
      <c r="F493" s="938"/>
    </row>
    <row r="494" spans="2:6" ht="12.3">
      <c r="B494" s="414"/>
      <c r="C494" s="414"/>
      <c r="D494" s="938"/>
      <c r="E494" s="938"/>
      <c r="F494" s="938"/>
    </row>
    <row r="495" spans="2:6" ht="12.3">
      <c r="B495" s="414"/>
      <c r="C495" s="414"/>
      <c r="D495" s="938"/>
      <c r="E495" s="938"/>
      <c r="F495" s="938"/>
    </row>
    <row r="496" spans="2:6" ht="12.3">
      <c r="B496" s="414"/>
      <c r="C496" s="414"/>
      <c r="D496" s="232"/>
      <c r="E496" s="37"/>
      <c r="F496" s="37"/>
    </row>
    <row r="497" spans="1:7" ht="12.3">
      <c r="A497" s="414"/>
      <c r="B497" s="529" t="s">
        <v>325</v>
      </c>
      <c r="C497" s="414"/>
      <c r="D497" s="960" t="s">
        <v>455</v>
      </c>
      <c r="E497" s="960"/>
      <c r="F497" s="960"/>
      <c r="G497" s="37"/>
    </row>
    <row r="498" spans="1:7" ht="12.3">
      <c r="A498" s="232"/>
      <c r="B498" s="232"/>
      <c r="C498" s="414"/>
      <c r="D498" s="37"/>
      <c r="E498" s="37"/>
      <c r="F498" s="37"/>
      <c r="G498" s="37"/>
    </row>
    <row r="499" spans="1:7" ht="12.3">
      <c r="A499" s="964" t="s">
        <v>456</v>
      </c>
      <c r="B499" s="964"/>
      <c r="C499" s="964"/>
      <c r="D499" s="964"/>
      <c r="E499" s="964"/>
      <c r="F499" s="964"/>
      <c r="G499" s="964"/>
    </row>
    <row r="500" spans="1:7" ht="12.3">
      <c r="A500" s="232"/>
      <c r="B500" s="232"/>
      <c r="C500" s="414"/>
      <c r="D500" s="37"/>
      <c r="E500" s="37"/>
      <c r="F500" s="37"/>
      <c r="G500" s="37"/>
    </row>
    <row r="501" spans="1:7" ht="12.3">
      <c r="A501" s="414"/>
      <c r="B501" s="414"/>
      <c r="C501" s="414"/>
      <c r="D501" s="968" t="s">
        <v>457</v>
      </c>
      <c r="E501" s="968"/>
      <c r="F501" s="968"/>
      <c r="G501" s="37"/>
    </row>
    <row r="502" spans="1:7" ht="12.3">
      <c r="A502" s="414"/>
      <c r="B502" s="414"/>
      <c r="C502" s="414"/>
      <c r="D502" s="969" t="s">
        <v>458</v>
      </c>
      <c r="E502" s="969"/>
      <c r="F502" s="969"/>
      <c r="G502" s="37"/>
    </row>
    <row r="503" spans="1:7" ht="12.3">
      <c r="A503" s="233"/>
      <c r="B503" s="233"/>
      <c r="C503" s="414"/>
      <c r="D503" s="351"/>
      <c r="E503" s="37"/>
      <c r="F503" s="37"/>
      <c r="G503" s="37"/>
    </row>
    <row r="504" spans="1:7" ht="12.3">
      <c r="A504" s="233"/>
      <c r="B504" s="529" t="s">
        <v>325</v>
      </c>
      <c r="C504" s="414"/>
      <c r="D504" s="959" t="s">
        <v>459</v>
      </c>
      <c r="E504" s="959"/>
      <c r="F504" s="959"/>
      <c r="G504" s="37"/>
    </row>
    <row r="505" spans="1:7" ht="12.3">
      <c r="A505" s="233"/>
      <c r="B505" s="233"/>
      <c r="C505" s="414"/>
      <c r="D505" s="959"/>
      <c r="E505" s="959"/>
      <c r="F505" s="959"/>
      <c r="G505" s="37"/>
    </row>
    <row r="506" spans="1:7" ht="12.3">
      <c r="A506" s="233"/>
      <c r="B506" s="233"/>
      <c r="C506" s="414"/>
      <c r="D506" s="232"/>
      <c r="E506" s="37"/>
      <c r="F506" s="37"/>
      <c r="G506" s="37"/>
    </row>
    <row r="507" spans="1:7" ht="12.3">
      <c r="A507" s="233"/>
      <c r="B507" s="529" t="s">
        <v>325</v>
      </c>
      <c r="C507" s="414"/>
      <c r="D507" s="970" t="s">
        <v>460</v>
      </c>
      <c r="E507" s="967"/>
      <c r="F507" s="967"/>
      <c r="G507" s="37"/>
    </row>
    <row r="508" spans="1:7" ht="12.3">
      <c r="A508" s="233"/>
      <c r="B508" s="233"/>
      <c r="C508" s="414"/>
      <c r="D508" s="967"/>
      <c r="E508" s="967"/>
      <c r="F508" s="967"/>
      <c r="G508" s="37"/>
    </row>
    <row r="509" spans="1:7" ht="12.3">
      <c r="A509" s="233"/>
      <c r="B509" s="233"/>
      <c r="C509" s="414"/>
      <c r="D509" s="967"/>
      <c r="E509" s="967"/>
      <c r="F509" s="967"/>
      <c r="G509"/>
    </row>
    <row r="510" spans="1:7" ht="12.3">
      <c r="A510" s="233"/>
      <c r="B510" s="233"/>
      <c r="C510" s="414"/>
      <c r="D510" s="967"/>
      <c r="E510" s="967"/>
      <c r="F510" s="967"/>
      <c r="G510"/>
    </row>
    <row r="511" spans="1:7" ht="12.3">
      <c r="A511" s="414"/>
      <c r="B511" s="414"/>
      <c r="C511" s="414"/>
      <c r="D511" s="37"/>
      <c r="E511" s="37"/>
      <c r="F511" s="37"/>
      <c r="G511"/>
    </row>
    <row r="512" spans="1:7" ht="12.3">
      <c r="A512" s="233"/>
      <c r="B512" s="529" t="s">
        <v>325</v>
      </c>
      <c r="C512" s="414"/>
      <c r="D512" s="960" t="s">
        <v>461</v>
      </c>
      <c r="E512" s="960"/>
      <c r="F512" s="960"/>
      <c r="G512"/>
    </row>
    <row r="513" spans="1:7" ht="12.3">
      <c r="A513" s="414"/>
      <c r="B513" s="414"/>
      <c r="C513" s="414"/>
      <c r="D513" s="232"/>
      <c r="E513" s="37"/>
      <c r="F513" s="37"/>
      <c r="G513"/>
    </row>
    <row r="514" spans="1:7" ht="12.3">
      <c r="A514" s="233"/>
      <c r="B514" s="529" t="s">
        <v>325</v>
      </c>
      <c r="C514" s="414"/>
      <c r="D514" s="938" t="s">
        <v>462</v>
      </c>
      <c r="E514" s="938"/>
      <c r="F514" s="938"/>
      <c r="G514"/>
    </row>
    <row r="515" spans="1:7" ht="12.3">
      <c r="A515" s="414"/>
      <c r="B515" s="414"/>
      <c r="C515" s="414"/>
      <c r="D515" s="938"/>
      <c r="E515" s="938"/>
      <c r="F515" s="938"/>
      <c r="G515"/>
    </row>
    <row r="516" spans="1:7" ht="12.3">
      <c r="A516" s="414"/>
      <c r="B516" s="414"/>
      <c r="C516" s="414"/>
      <c r="D516" s="351"/>
      <c r="E516" s="37"/>
      <c r="F516" s="37"/>
      <c r="G516"/>
    </row>
    <row r="517" spans="1:7" ht="12.3">
      <c r="A517" s="233"/>
      <c r="B517" s="529" t="s">
        <v>325</v>
      </c>
      <c r="C517" s="414"/>
      <c r="D517" s="960" t="s">
        <v>463</v>
      </c>
      <c r="E517" s="960"/>
      <c r="F517" s="960"/>
      <c r="G517" s="37"/>
    </row>
    <row r="518" spans="1:7" ht="12.3">
      <c r="A518" s="233"/>
      <c r="B518" s="233"/>
      <c r="C518" s="414"/>
      <c r="D518" s="232"/>
      <c r="E518" s="37"/>
      <c r="F518" s="37"/>
      <c r="G518" s="37"/>
    </row>
    <row r="519" spans="1:7" ht="12.3">
      <c r="A519" s="964" t="s">
        <v>464</v>
      </c>
      <c r="B519" s="964"/>
      <c r="C519" s="964"/>
      <c r="D519" s="964"/>
      <c r="E519" s="964"/>
      <c r="F519" s="964"/>
      <c r="G519" s="964"/>
    </row>
    <row r="520" spans="1:7" ht="12" customHeight="1">
      <c r="A520" s="233"/>
      <c r="B520" s="233"/>
      <c r="C520" s="414"/>
      <c r="D520" s="232"/>
      <c r="E520" s="37"/>
      <c r="F520" s="37"/>
      <c r="G520" s="37"/>
    </row>
    <row r="521" spans="1:7" ht="12.3">
      <c r="A521" s="414"/>
      <c r="B521" s="529" t="s">
        <v>323</v>
      </c>
      <c r="C521" s="167"/>
      <c r="D521" s="987" t="s">
        <v>465</v>
      </c>
      <c r="E521" s="987"/>
      <c r="F521" s="987"/>
      <c r="G521" s="37"/>
    </row>
    <row r="522" spans="1:7" ht="12.3">
      <c r="A522" s="414"/>
      <c r="B522" s="414"/>
      <c r="C522" s="167"/>
      <c r="D522" s="987"/>
      <c r="E522" s="987"/>
      <c r="F522" s="987"/>
      <c r="G522" s="37"/>
    </row>
    <row r="523" spans="1:7" ht="12.3">
      <c r="A523" s="168"/>
      <c r="B523" s="168"/>
      <c r="C523" s="168"/>
      <c r="D523" s="987"/>
      <c r="E523" s="987"/>
      <c r="F523" s="987"/>
      <c r="G523" s="37"/>
    </row>
    <row r="524" spans="1:7" ht="12.3">
      <c r="A524" s="168"/>
      <c r="B524" s="168"/>
      <c r="C524" s="168"/>
      <c r="D524" s="987"/>
      <c r="E524" s="987"/>
      <c r="F524" s="987"/>
      <c r="G524" s="37"/>
    </row>
    <row r="525" spans="1:7" ht="12.3">
      <c r="A525" s="168"/>
      <c r="B525" s="168"/>
      <c r="C525" s="168"/>
      <c r="D525" s="37"/>
      <c r="E525" s="37"/>
      <c r="F525" s="37"/>
      <c r="G525" s="37"/>
    </row>
    <row r="526" spans="1:7" ht="12.3">
      <c r="A526" s="233"/>
      <c r="B526" s="529" t="s">
        <v>325</v>
      </c>
      <c r="C526" s="868"/>
      <c r="D526" s="938" t="s">
        <v>466</v>
      </c>
      <c r="E526" s="938"/>
      <c r="F526" s="938"/>
      <c r="G526"/>
    </row>
    <row r="527" spans="1:7" ht="12.3">
      <c r="A527" s="868"/>
      <c r="B527" s="868"/>
      <c r="C527" s="868"/>
      <c r="D527" s="938"/>
      <c r="E527" s="938"/>
      <c r="F527" s="938"/>
      <c r="G527"/>
    </row>
    <row r="528" spans="1:7" ht="12.3">
      <c r="A528" s="168"/>
      <c r="B528" s="168"/>
      <c r="C528" s="168"/>
      <c r="D528" s="232"/>
      <c r="E528" s="37"/>
      <c r="F528" s="37"/>
      <c r="G528"/>
    </row>
    <row r="529" spans="1:7" ht="12.3">
      <c r="A529" s="168"/>
      <c r="B529" s="529" t="s">
        <v>323</v>
      </c>
      <c r="C529" s="168"/>
      <c r="D529" s="834" t="s">
        <v>467</v>
      </c>
      <c r="E529" s="835"/>
      <c r="F529" s="37"/>
      <c r="G529"/>
    </row>
    <row r="530" spans="1:7" ht="12.3">
      <c r="A530" s="168"/>
      <c r="B530" s="168"/>
      <c r="C530" s="168"/>
      <c r="D530" s="835"/>
      <c r="E530" s="84" t="s">
        <v>468</v>
      </c>
      <c r="F530" s="37"/>
      <c r="G530"/>
    </row>
    <row r="531" spans="1:7" ht="12.3">
      <c r="A531" s="233"/>
      <c r="B531"/>
      <c r="C531" s="414"/>
      <c r="D531" s="959" t="s">
        <v>469</v>
      </c>
      <c r="E531" s="959"/>
      <c r="F531" s="959"/>
      <c r="G531"/>
    </row>
    <row r="532" spans="1:7" ht="12.3">
      <c r="A532" s="233"/>
      <c r="B532" s="233"/>
      <c r="C532" s="414"/>
      <c r="D532" s="959"/>
      <c r="E532" s="959"/>
      <c r="F532" s="959"/>
      <c r="G532"/>
    </row>
    <row r="533" spans="1:7" ht="12.3">
      <c r="A533" s="414"/>
      <c r="B533" s="414"/>
      <c r="C533" s="414"/>
      <c r="D533" s="959"/>
      <c r="E533" s="959"/>
      <c r="F533" s="959"/>
      <c r="G533" s="37"/>
    </row>
    <row r="534" spans="1:7" ht="12" customHeight="1">
      <c r="A534" s="232"/>
      <c r="B534" s="232"/>
      <c r="C534" s="868"/>
      <c r="D534" s="37"/>
      <c r="E534" s="232"/>
      <c r="F534" s="37"/>
      <c r="G534" s="37"/>
    </row>
    <row r="535" spans="1:7" ht="12.3">
      <c r="A535" s="964" t="s">
        <v>470</v>
      </c>
      <c r="B535" s="964"/>
      <c r="C535" s="964"/>
      <c r="D535" s="964"/>
      <c r="E535" s="964"/>
      <c r="F535" s="964"/>
      <c r="G535" s="964"/>
    </row>
    <row r="536" spans="1:7" ht="12" customHeight="1">
      <c r="A536" s="232"/>
      <c r="B536" s="232"/>
      <c r="C536" s="868"/>
      <c r="D536" s="37"/>
      <c r="E536" s="232"/>
      <c r="F536" s="37"/>
      <c r="G536" s="37"/>
    </row>
    <row r="537" spans="1:7" ht="12.3">
      <c r="A537" s="414"/>
      <c r="B537" s="414"/>
      <c r="C537" s="868"/>
      <c r="D537" s="965" t="s">
        <v>471</v>
      </c>
      <c r="E537" s="965"/>
      <c r="F537" s="965"/>
      <c r="G537" s="37"/>
    </row>
    <row r="538" spans="1:7" ht="12.3">
      <c r="A538" s="414"/>
      <c r="B538" s="414"/>
      <c r="C538" s="414"/>
      <c r="D538" s="37"/>
      <c r="E538" s="37"/>
      <c r="F538" s="37"/>
      <c r="G538" s="37"/>
    </row>
    <row r="539" spans="1:7" ht="12.3">
      <c r="A539" s="414"/>
      <c r="B539" s="529" t="s">
        <v>325</v>
      </c>
      <c r="C539" s="414"/>
      <c r="D539" s="938" t="s">
        <v>472</v>
      </c>
      <c r="E539" s="938"/>
      <c r="F539" s="938"/>
      <c r="G539" s="37"/>
    </row>
    <row r="540" spans="1:7" ht="12.3">
      <c r="A540" s="414"/>
      <c r="B540" s="414"/>
      <c r="C540" s="414"/>
      <c r="D540" s="938"/>
      <c r="E540" s="938"/>
      <c r="F540" s="938"/>
      <c r="G540" s="37"/>
    </row>
    <row r="541" spans="1:7" ht="12" customHeight="1">
      <c r="A541" s="868"/>
      <c r="B541" s="868"/>
      <c r="C541" s="868"/>
      <c r="D541" s="232"/>
      <c r="E541" s="37"/>
      <c r="F541" s="37"/>
      <c r="G541" s="37"/>
    </row>
    <row r="542" spans="1:7" ht="12.3">
      <c r="A542" s="233"/>
      <c r="B542" s="529" t="s">
        <v>325</v>
      </c>
      <c r="C542" s="868"/>
      <c r="D542" s="938" t="s">
        <v>473</v>
      </c>
      <c r="E542" s="938"/>
      <c r="F542" s="938"/>
      <c r="G542" s="37"/>
    </row>
    <row r="543" spans="1:7" ht="12.3">
      <c r="A543" s="868"/>
      <c r="B543" s="868"/>
      <c r="C543" s="868"/>
      <c r="D543" s="938"/>
      <c r="E543" s="938"/>
      <c r="F543" s="938"/>
      <c r="G543" s="37"/>
    </row>
    <row r="544" spans="1:7" ht="12" customHeight="1">
      <c r="A544" s="868"/>
      <c r="B544" s="868"/>
      <c r="C544" s="868"/>
      <c r="D544" s="232"/>
      <c r="E544" s="37"/>
      <c r="F544" s="37"/>
      <c r="G544" s="37"/>
    </row>
    <row r="545" spans="1:7" ht="12.3">
      <c r="A545" s="984" t="s">
        <v>474</v>
      </c>
      <c r="B545" s="984"/>
      <c r="C545" s="984"/>
      <c r="D545" s="984"/>
      <c r="E545" s="984"/>
      <c r="F545" s="984"/>
      <c r="G545" s="984"/>
    </row>
    <row r="546" spans="1:7" ht="12" customHeight="1">
      <c r="A546" s="232"/>
      <c r="B546" s="232"/>
      <c r="C546" s="868"/>
      <c r="D546" s="232"/>
      <c r="E546" s="37"/>
      <c r="F546" s="37"/>
      <c r="G546" s="37"/>
    </row>
    <row r="547" spans="1:7" ht="12.3">
      <c r="A547" s="414"/>
      <c r="B547" s="414"/>
      <c r="C547" s="868"/>
      <c r="D547" s="965" t="s">
        <v>475</v>
      </c>
      <c r="E547" s="965"/>
      <c r="F547" s="965"/>
      <c r="G547" s="37"/>
    </row>
    <row r="548" spans="1:7" ht="12.3">
      <c r="A548" s="414"/>
      <c r="B548" s="414"/>
      <c r="C548" s="868"/>
      <c r="D548" s="960" t="s">
        <v>476</v>
      </c>
      <c r="E548" s="960"/>
      <c r="F548" s="960"/>
      <c r="G548" s="37"/>
    </row>
    <row r="549" spans="1:7" ht="12.3">
      <c r="A549" s="414"/>
      <c r="B549" s="414"/>
      <c r="C549" s="868"/>
      <c r="D549" s="232"/>
      <c r="E549" s="232"/>
      <c r="F549" s="232"/>
      <c r="G549" s="37"/>
    </row>
    <row r="550" spans="1:7" ht="12.3">
      <c r="A550" s="233"/>
      <c r="B550" s="529" t="s">
        <v>323</v>
      </c>
      <c r="C550" s="868"/>
      <c r="D550" s="960" t="s">
        <v>477</v>
      </c>
      <c r="E550" s="960"/>
      <c r="F550" s="960"/>
      <c r="G550" s="37"/>
    </row>
    <row r="551" spans="1:7" ht="12" customHeight="1">
      <c r="A551" s="868"/>
      <c r="B551" s="868"/>
      <c r="C551" s="868"/>
      <c r="D551" s="232"/>
      <c r="E551"/>
      <c r="F551"/>
      <c r="G551"/>
    </row>
    <row r="552" spans="1:7" ht="14.85" customHeight="1">
      <c r="A552" s="233"/>
      <c r="B552" s="529" t="s">
        <v>323</v>
      </c>
      <c r="C552" s="868"/>
      <c r="D552" s="938" t="s">
        <v>478</v>
      </c>
      <c r="E552" s="938"/>
      <c r="F552" s="938"/>
      <c r="G552"/>
    </row>
    <row r="553" spans="1:7" ht="12.3">
      <c r="A553" s="868"/>
      <c r="B553" s="868"/>
      <c r="C553" s="868"/>
      <c r="D553" s="938"/>
      <c r="E553" s="938"/>
      <c r="F553" s="938"/>
      <c r="G553"/>
    </row>
    <row r="554" spans="1:7" ht="12" customHeight="1">
      <c r="A554" s="868"/>
      <c r="B554" s="868"/>
      <c r="C554" s="868"/>
      <c r="D554" s="232"/>
      <c r="E554"/>
      <c r="F554"/>
      <c r="G554"/>
    </row>
    <row r="555" spans="1:7" ht="12.3">
      <c r="A555" s="233"/>
      <c r="B555" s="529" t="s">
        <v>323</v>
      </c>
      <c r="C555" s="868"/>
      <c r="D555" s="938" t="s">
        <v>479</v>
      </c>
      <c r="E555" s="938"/>
      <c r="F555" s="938"/>
      <c r="G555"/>
    </row>
    <row r="556" spans="1:7" ht="12.3">
      <c r="A556" s="868"/>
      <c r="B556" s="868"/>
      <c r="C556" s="868"/>
      <c r="D556" s="938"/>
      <c r="E556" s="938"/>
      <c r="F556" s="938"/>
      <c r="G556"/>
    </row>
    <row r="557" spans="1:7" ht="12" customHeight="1">
      <c r="A557" s="868"/>
      <c r="B557" s="868"/>
      <c r="C557" s="868"/>
      <c r="D557" s="232"/>
      <c r="E557"/>
      <c r="F557"/>
      <c r="G557"/>
    </row>
    <row r="558" spans="1:7" ht="12.3">
      <c r="A558" s="233"/>
      <c r="B558" s="529" t="s">
        <v>323</v>
      </c>
      <c r="C558" s="868"/>
      <c r="D558" s="938" t="s">
        <v>480</v>
      </c>
      <c r="E558" s="938"/>
      <c r="F558" s="938"/>
      <c r="G558"/>
    </row>
    <row r="559" spans="1:7" ht="12.3">
      <c r="A559" s="868"/>
      <c r="B559" s="868"/>
      <c r="C559" s="868"/>
      <c r="D559" s="938"/>
      <c r="E559" s="938"/>
      <c r="F559" s="938"/>
      <c r="G559"/>
    </row>
    <row r="560" spans="1:7" ht="12" customHeight="1">
      <c r="A560" s="868"/>
      <c r="B560" s="868"/>
      <c r="C560" s="868"/>
      <c r="D560" s="232"/>
      <c r="E560"/>
      <c r="F560"/>
      <c r="G560"/>
    </row>
    <row r="561" spans="1:7" ht="14.85" customHeight="1">
      <c r="A561" s="233"/>
      <c r="B561" s="529" t="s">
        <v>323</v>
      </c>
      <c r="C561" s="868"/>
      <c r="D561" s="938" t="s">
        <v>481</v>
      </c>
      <c r="E561" s="938"/>
      <c r="F561" s="938"/>
      <c r="G561"/>
    </row>
    <row r="562" spans="1:7" ht="12.3">
      <c r="A562" s="868"/>
      <c r="B562" s="868"/>
      <c r="C562" s="868"/>
      <c r="D562" s="938"/>
      <c r="E562" s="938"/>
      <c r="F562" s="938"/>
      <c r="G562"/>
    </row>
    <row r="563" spans="1:7" ht="12.3">
      <c r="A563" s="868"/>
      <c r="B563" s="868"/>
      <c r="C563" s="868"/>
      <c r="D563" s="938"/>
      <c r="E563" s="938"/>
      <c r="F563" s="938"/>
      <c r="G563"/>
    </row>
    <row r="564" spans="1:7" ht="12.3">
      <c r="A564" s="868"/>
      <c r="B564" s="868"/>
      <c r="C564" s="868"/>
      <c r="D564" s="232"/>
      <c r="E564"/>
      <c r="F564"/>
      <c r="G564"/>
    </row>
    <row r="565" spans="1:7" ht="12.3">
      <c r="A565" s="233"/>
      <c r="B565" s="529" t="s">
        <v>325</v>
      </c>
      <c r="C565" s="868"/>
      <c r="D565" s="938" t="s">
        <v>482</v>
      </c>
      <c r="E565" s="938"/>
      <c r="F565" s="938"/>
      <c r="G565"/>
    </row>
    <row r="566" spans="1:7" ht="12.3">
      <c r="A566" s="868"/>
      <c r="B566" s="868"/>
      <c r="C566" s="868"/>
      <c r="D566" s="938"/>
      <c r="E566" s="938"/>
      <c r="F566" s="938"/>
      <c r="G566"/>
    </row>
    <row r="567" spans="1:7" ht="12.3">
      <c r="A567" s="868"/>
      <c r="B567" s="868"/>
      <c r="C567" s="868"/>
      <c r="D567" s="232"/>
      <c r="E567" s="37"/>
      <c r="F567" s="37"/>
      <c r="G567"/>
    </row>
    <row r="568" spans="1:7" ht="12.3">
      <c r="A568" s="233"/>
      <c r="B568" s="529" t="s">
        <v>323</v>
      </c>
      <c r="C568" s="868"/>
      <c r="D568" s="938" t="s">
        <v>483</v>
      </c>
      <c r="E568" s="938"/>
      <c r="F568" s="938"/>
      <c r="G568"/>
    </row>
    <row r="569" spans="1:7" ht="12.3">
      <c r="A569" s="868"/>
      <c r="B569" s="868"/>
      <c r="C569" s="868"/>
      <c r="D569" s="938"/>
      <c r="E569" s="938"/>
      <c r="F569" s="938"/>
      <c r="G569"/>
    </row>
    <row r="570" spans="1:7" ht="12" customHeight="1">
      <c r="A570" s="868"/>
      <c r="B570" s="868"/>
      <c r="C570" s="868"/>
      <c r="D570" s="232"/>
      <c r="E570" s="37"/>
      <c r="F570" s="37"/>
      <c r="G570"/>
    </row>
    <row r="571" spans="1:7" ht="12.3">
      <c r="A571" s="233"/>
      <c r="B571" s="529" t="s">
        <v>323</v>
      </c>
      <c r="C571" s="868"/>
      <c r="D571" s="960" t="s">
        <v>484</v>
      </c>
      <c r="E571" s="960"/>
      <c r="F571" s="960"/>
      <c r="G571"/>
    </row>
    <row r="572" spans="1:7" ht="12.3">
      <c r="A572" s="233"/>
      <c r="B572" s="233"/>
      <c r="C572" s="868"/>
      <c r="D572" s="986" t="s">
        <v>485</v>
      </c>
      <c r="E572" s="986"/>
      <c r="F572" s="986"/>
      <c r="G572"/>
    </row>
    <row r="573" spans="1:7" ht="12.3">
      <c r="A573" s="18"/>
      <c r="B573" s="18"/>
      <c r="C573" s="868"/>
      <c r="D573" s="836"/>
      <c r="E573" s="84" t="s">
        <v>486</v>
      </c>
      <c r="F573" s="837"/>
      <c r="G573"/>
    </row>
    <row r="574" spans="1:7" ht="15" customHeight="1">
      <c r="A574" s="18"/>
      <c r="B574" s="18"/>
      <c r="C574" s="868"/>
      <c r="D574" s="938" t="s">
        <v>487</v>
      </c>
      <c r="E574" s="938"/>
      <c r="F574" s="938"/>
      <c r="G574"/>
    </row>
    <row r="575" spans="1:7" ht="12.3">
      <c r="A575" s="18"/>
      <c r="B575" s="18"/>
      <c r="C575" s="868"/>
      <c r="D575" s="938"/>
      <c r="E575" s="938"/>
      <c r="F575" s="938"/>
      <c r="G575"/>
    </row>
    <row r="576" spans="1:7" ht="12.3">
      <c r="A576" s="18"/>
      <c r="B576" s="18"/>
      <c r="C576" s="868"/>
      <c r="D576" s="938"/>
      <c r="E576" s="938"/>
      <c r="F576" s="938"/>
      <c r="G576"/>
    </row>
    <row r="577" spans="1:7" ht="12.3">
      <c r="A577" s="18"/>
      <c r="B577" s="18"/>
      <c r="C577" s="868"/>
      <c r="D577" s="938"/>
      <c r="E577" s="938"/>
      <c r="F577" s="938"/>
      <c r="G577"/>
    </row>
    <row r="578" spans="1:7" ht="12.3">
      <c r="A578" s="18"/>
      <c r="B578" s="18"/>
      <c r="C578" s="868"/>
      <c r="D578" s="938"/>
      <c r="E578" s="938"/>
      <c r="F578" s="938"/>
      <c r="G578"/>
    </row>
    <row r="579" spans="1:7" ht="12.3">
      <c r="A579" s="18"/>
      <c r="B579" s="18"/>
      <c r="C579" s="868"/>
      <c r="D579" s="938"/>
      <c r="E579" s="938"/>
      <c r="F579" s="938"/>
      <c r="G579"/>
    </row>
    <row r="580" spans="1:7" ht="12.3">
      <c r="A580" s="18"/>
      <c r="B580" s="18"/>
      <c r="C580" s="868"/>
      <c r="D580" s="938"/>
      <c r="E580" s="938"/>
      <c r="F580" s="938"/>
      <c r="G580"/>
    </row>
    <row r="581" spans="1:7" ht="12.3">
      <c r="A581" s="18"/>
      <c r="B581" s="18"/>
      <c r="C581" s="868"/>
      <c r="D581" s="938"/>
      <c r="E581" s="938"/>
      <c r="F581" s="938"/>
      <c r="G581"/>
    </row>
    <row r="582" spans="1:7" ht="12.3">
      <c r="A582" s="18"/>
      <c r="B582" s="18"/>
      <c r="C582" s="868"/>
      <c r="D582" s="938"/>
      <c r="E582" s="938"/>
      <c r="F582" s="938"/>
      <c r="G582"/>
    </row>
    <row r="583" spans="1:7" ht="12.3">
      <c r="A583" s="18"/>
      <c r="B583" s="18"/>
      <c r="C583" s="868"/>
      <c r="D583" s="684"/>
      <c r="E583" s="684"/>
      <c r="F583" s="684"/>
      <c r="G583"/>
    </row>
    <row r="584" spans="1:7" ht="12.3">
      <c r="A584" s="233"/>
      <c r="B584" s="529" t="s">
        <v>323</v>
      </c>
      <c r="C584" s="868"/>
      <c r="D584" s="960" t="s">
        <v>488</v>
      </c>
      <c r="E584" s="960"/>
      <c r="F584" s="960"/>
      <c r="G584"/>
    </row>
    <row r="585" spans="1:7" ht="14.1" customHeight="1">
      <c r="A585" s="414"/>
      <c r="B585" s="414"/>
      <c r="C585" s="868"/>
      <c r="D585" s="938" t="s">
        <v>489</v>
      </c>
      <c r="E585" s="938"/>
      <c r="F585" s="938"/>
      <c r="G585"/>
    </row>
    <row r="586" spans="1:7" ht="12.3">
      <c r="A586" s="868"/>
      <c r="B586" s="868"/>
      <c r="C586" s="868"/>
      <c r="D586" s="938"/>
      <c r="E586" s="938"/>
      <c r="F586" s="938"/>
      <c r="G586"/>
    </row>
    <row r="587" spans="1:7" ht="12.3">
      <c r="A587" s="868"/>
      <c r="B587" s="868"/>
      <c r="C587" s="868"/>
      <c r="D587" s="938"/>
      <c r="E587" s="938"/>
      <c r="F587" s="938"/>
      <c r="G587"/>
    </row>
    <row r="588" spans="1:7" ht="12.3">
      <c r="A588" s="868"/>
      <c r="B588" s="868"/>
      <c r="C588" s="868"/>
      <c r="D588" s="684"/>
      <c r="E588" s="684"/>
      <c r="F588" s="684"/>
      <c r="G588"/>
    </row>
    <row r="589" spans="1:7" ht="14.85" customHeight="1">
      <c r="A589" s="233"/>
      <c r="B589" s="529" t="s">
        <v>323</v>
      </c>
      <c r="C589" s="868"/>
      <c r="D589" s="938" t="s">
        <v>490</v>
      </c>
      <c r="E589" s="938"/>
      <c r="F589" s="938"/>
      <c r="G589"/>
    </row>
    <row r="590" spans="1:7" ht="12.3">
      <c r="A590" s="233"/>
      <c r="B590" s="233"/>
      <c r="C590" s="868"/>
      <c r="D590" s="938"/>
      <c r="E590" s="938"/>
      <c r="F590" s="938"/>
      <c r="G590"/>
    </row>
    <row r="591" spans="1:7" ht="12.3">
      <c r="A591" s="233"/>
      <c r="B591" s="233"/>
      <c r="C591" s="868"/>
      <c r="D591" s="938"/>
      <c r="E591" s="938"/>
      <c r="F591" s="938"/>
      <c r="G591" s="37"/>
    </row>
    <row r="592" spans="1:7" ht="12.3">
      <c r="A592" s="868"/>
      <c r="B592" s="868"/>
      <c r="C592" s="868"/>
      <c r="D592" s="938"/>
      <c r="E592" s="938"/>
      <c r="F592" s="938"/>
      <c r="G592" s="37"/>
    </row>
    <row r="593" spans="1:7" ht="12.3">
      <c r="A593" s="868"/>
      <c r="B593" s="868"/>
      <c r="C593" s="868"/>
      <c r="D593" s="232"/>
      <c r="E593" s="37"/>
      <c r="F593" s="37"/>
      <c r="G593" s="37"/>
    </row>
    <row r="594" spans="1:7" ht="12.3">
      <c r="A594" s="168"/>
      <c r="B594" s="529" t="s">
        <v>325</v>
      </c>
      <c r="C594" s="168"/>
      <c r="D594" s="963" t="s">
        <v>491</v>
      </c>
      <c r="E594" s="963"/>
      <c r="F594" s="963"/>
      <c r="G594" s="37"/>
    </row>
    <row r="595" spans="1:7" ht="12.3">
      <c r="A595" s="168"/>
      <c r="B595" s="168"/>
      <c r="C595" s="168"/>
      <c r="D595" s="37"/>
      <c r="E595" s="37"/>
      <c r="F595" s="37"/>
      <c r="G595" s="37"/>
    </row>
    <row r="596" spans="1:7" ht="12.3">
      <c r="A596" s="868"/>
      <c r="B596" s="868"/>
      <c r="C596" s="868"/>
      <c r="D596" s="178"/>
      <c r="E596" s="178"/>
      <c r="F596" s="178"/>
      <c r="G596" s="37"/>
    </row>
    <row r="597" spans="1:7" ht="12.3">
      <c r="A597" s="964" t="s">
        <v>492</v>
      </c>
      <c r="B597" s="964"/>
      <c r="C597" s="964"/>
      <c r="D597" s="964"/>
      <c r="E597" s="964"/>
      <c r="F597" s="964"/>
      <c r="G597" s="964"/>
    </row>
    <row r="598" spans="1:7" ht="12.3">
      <c r="A598" s="868"/>
      <c r="B598" s="868"/>
      <c r="C598" s="868"/>
      <c r="D598" s="37"/>
      <c r="E598" s="37"/>
      <c r="F598" s="37"/>
      <c r="G598" s="37"/>
    </row>
    <row r="599" spans="1:7" ht="12.3">
      <c r="A599" s="414"/>
      <c r="B599" s="414"/>
      <c r="C599" s="167"/>
      <c r="D599" s="966" t="s">
        <v>493</v>
      </c>
      <c r="E599" s="966"/>
      <c r="F599" s="966"/>
      <c r="G599" s="37"/>
    </row>
    <row r="600" spans="1:7" ht="12.3">
      <c r="A600" s="414"/>
      <c r="B600" s="414"/>
      <c r="C600" s="167"/>
      <c r="D600" s="967" t="s">
        <v>494</v>
      </c>
      <c r="E600" s="967"/>
      <c r="F600" s="967"/>
      <c r="G600" s="37"/>
    </row>
    <row r="601" spans="1:7" ht="12.3">
      <c r="A601" s="414"/>
      <c r="B601" s="414"/>
      <c r="C601" s="167"/>
      <c r="D601" s="301"/>
      <c r="E601" s="37"/>
      <c r="F601" s="37"/>
      <c r="G601" s="37"/>
    </row>
    <row r="602" spans="1:7" ht="12.3">
      <c r="A602" s="233"/>
      <c r="B602" s="529" t="s">
        <v>323</v>
      </c>
      <c r="C602" s="414"/>
      <c r="D602" s="967" t="s">
        <v>495</v>
      </c>
      <c r="E602" s="967"/>
      <c r="F602" s="967"/>
      <c r="G602" s="37"/>
    </row>
    <row r="603" spans="1:7" ht="12.3">
      <c r="A603" s="18"/>
      <c r="B603" s="18"/>
      <c r="C603" s="414"/>
      <c r="D603" s="296"/>
      <c r="E603" s="37"/>
      <c r="F603" s="37"/>
      <c r="G603" s="37"/>
    </row>
    <row r="604" spans="1:7" ht="14.85" customHeight="1">
      <c r="A604" s="233"/>
      <c r="B604" s="529" t="s">
        <v>323</v>
      </c>
      <c r="C604" s="414"/>
      <c r="D604" s="967" t="s">
        <v>496</v>
      </c>
      <c r="E604" s="967"/>
      <c r="F604" s="967"/>
      <c r="G604" s="37"/>
    </row>
    <row r="605" spans="1:7" ht="14.85" customHeight="1">
      <c r="A605" s="233"/>
      <c r="B605" s="233"/>
      <c r="C605" s="414"/>
      <c r="D605" s="967"/>
      <c r="E605" s="967"/>
      <c r="F605" s="967"/>
      <c r="G605" s="37"/>
    </row>
    <row r="606" spans="1:7" ht="12.3">
      <c r="A606" s="233"/>
      <c r="B606" s="233"/>
      <c r="C606" s="414"/>
      <c r="D606" s="967"/>
      <c r="E606" s="967"/>
      <c r="F606" s="967"/>
      <c r="G606" s="37"/>
    </row>
    <row r="607" spans="1:7" ht="12.3">
      <c r="A607" s="233"/>
      <c r="B607" s="233"/>
      <c r="C607" s="414"/>
      <c r="D607" s="532"/>
      <c r="E607" s="532"/>
      <c r="F607" s="532"/>
      <c r="G607" s="37"/>
    </row>
    <row r="608" spans="1:7" ht="12.3">
      <c r="A608" s="233"/>
      <c r="B608" s="529" t="s">
        <v>325</v>
      </c>
      <c r="C608" s="414"/>
      <c r="D608" s="967" t="s">
        <v>497</v>
      </c>
      <c r="E608" s="967"/>
      <c r="F608" s="967"/>
      <c r="G608" s="37"/>
    </row>
    <row r="609" spans="1:7" ht="12.3">
      <c r="A609" s="233"/>
      <c r="B609" s="233"/>
      <c r="C609" s="414"/>
      <c r="D609" s="967"/>
      <c r="E609" s="967"/>
      <c r="F609" s="967"/>
      <c r="G609" s="37"/>
    </row>
    <row r="610" spans="1:7" ht="12.3">
      <c r="A610" s="233"/>
      <c r="B610" s="233"/>
      <c r="C610" s="414"/>
      <c r="D610" s="967"/>
      <c r="E610" s="967"/>
      <c r="F610" s="967"/>
      <c r="G610" s="37"/>
    </row>
    <row r="611" spans="1:7" ht="12.3">
      <c r="A611" s="233"/>
      <c r="B611" s="233"/>
      <c r="C611" s="414"/>
      <c r="D611" s="967"/>
      <c r="E611" s="967"/>
      <c r="F611" s="967"/>
      <c r="G611" s="37"/>
    </row>
    <row r="612" spans="1:7" ht="12.3">
      <c r="A612" s="233"/>
      <c r="B612" s="233"/>
      <c r="C612" s="414"/>
      <c r="D612" s="301"/>
      <c r="E612" s="37"/>
      <c r="F612" s="37"/>
      <c r="G612" s="37"/>
    </row>
    <row r="613" spans="1:7" ht="12.3">
      <c r="A613" s="233"/>
      <c r="B613" s="529" t="s">
        <v>323</v>
      </c>
      <c r="C613" s="414"/>
      <c r="D613" s="967" t="s">
        <v>498</v>
      </c>
      <c r="E613" s="967"/>
      <c r="F613" s="967"/>
      <c r="G613" s="37"/>
    </row>
    <row r="614" spans="1:7" ht="12.3">
      <c r="A614" s="233"/>
      <c r="B614" s="233"/>
      <c r="C614" s="414"/>
      <c r="D614" s="967"/>
      <c r="E614" s="967"/>
      <c r="F614" s="967"/>
      <c r="G614" s="37"/>
    </row>
    <row r="615" spans="1:7" ht="12.3">
      <c r="A615" s="233"/>
      <c r="B615" s="233"/>
      <c r="C615" s="414"/>
      <c r="D615" s="301"/>
      <c r="E615" s="37"/>
      <c r="F615" s="37"/>
      <c r="G615" s="37"/>
    </row>
    <row r="616" spans="1:7" ht="14.85" customHeight="1">
      <c r="A616" s="233"/>
      <c r="B616" s="529" t="s">
        <v>325</v>
      </c>
      <c r="C616" s="414"/>
      <c r="D616" s="967" t="s">
        <v>499</v>
      </c>
      <c r="E616" s="967"/>
      <c r="F616" s="967"/>
      <c r="G616" s="37"/>
    </row>
    <row r="617" spans="1:7" ht="12.3">
      <c r="A617" s="233"/>
      <c r="B617" s="233"/>
      <c r="C617" s="414"/>
      <c r="D617" s="967"/>
      <c r="E617" s="967"/>
      <c r="F617" s="967"/>
      <c r="G617" s="37"/>
    </row>
    <row r="618" spans="1:7" ht="12.3">
      <c r="A618" s="233"/>
      <c r="B618" s="233"/>
      <c r="C618" s="414"/>
      <c r="D618" s="301"/>
      <c r="E618" s="37"/>
      <c r="F618" s="37"/>
      <c r="G618" s="37"/>
    </row>
    <row r="619" spans="1:7" ht="12.3">
      <c r="A619" s="233"/>
      <c r="B619" s="529" t="s">
        <v>323</v>
      </c>
      <c r="C619" s="414"/>
      <c r="D619" s="967" t="s">
        <v>500</v>
      </c>
      <c r="E619" s="967"/>
      <c r="F619" s="967"/>
      <c r="G619" s="37"/>
    </row>
    <row r="620" spans="1:7" ht="12.3">
      <c r="A620" s="18"/>
      <c r="B620" s="18"/>
      <c r="C620" s="414"/>
      <c r="D620" s="37"/>
      <c r="E620" s="37"/>
      <c r="F620" s="37"/>
      <c r="G620" s="37"/>
    </row>
    <row r="621" spans="1:7" ht="12.3">
      <c r="A621" s="964" t="s">
        <v>501</v>
      </c>
      <c r="B621" s="964"/>
      <c r="C621" s="964"/>
      <c r="D621" s="964"/>
      <c r="E621" s="964"/>
      <c r="F621" s="964"/>
      <c r="G621" s="964"/>
    </row>
    <row r="622" spans="1:7" ht="12.3">
      <c r="A622" s="56"/>
      <c r="B622" s="56"/>
      <c r="C622" s="414"/>
      <c r="D622" s="37"/>
      <c r="E622" s="37"/>
      <c r="F622" s="37"/>
      <c r="G622" s="37"/>
    </row>
    <row r="623" spans="1:7" ht="12.3">
      <c r="A623" s="414"/>
      <c r="B623" s="414"/>
      <c r="C623" s="168"/>
      <c r="D623" s="973" t="s">
        <v>502</v>
      </c>
      <c r="E623" s="973"/>
      <c r="F623" s="973"/>
      <c r="G623" s="37"/>
    </row>
    <row r="624" spans="1:7" ht="12.3">
      <c r="A624" s="414"/>
      <c r="B624" s="414"/>
      <c r="C624" s="168"/>
      <c r="D624" s="963" t="s">
        <v>503</v>
      </c>
      <c r="E624" s="963"/>
      <c r="F624" s="963"/>
      <c r="G624" s="37"/>
    </row>
    <row r="625" spans="1:7" ht="12.3">
      <c r="A625" s="414"/>
      <c r="B625" s="414"/>
      <c r="C625" s="168"/>
      <c r="D625" s="266"/>
      <c r="E625" s="266"/>
      <c r="F625" s="266"/>
      <c r="G625" s="37"/>
    </row>
    <row r="626" spans="1:7" ht="14.25" customHeight="1">
      <c r="A626" s="233"/>
      <c r="B626" s="529" t="s">
        <v>323</v>
      </c>
      <c r="C626" s="414"/>
      <c r="D626" s="956" t="s">
        <v>504</v>
      </c>
      <c r="E626" s="957"/>
      <c r="F626" s="957"/>
      <c r="G626" s="37"/>
    </row>
    <row r="627" spans="1:7" ht="12.3">
      <c r="A627" s="414"/>
      <c r="B627" s="414"/>
      <c r="C627" s="414"/>
      <c r="D627" s="957"/>
      <c r="E627" s="957"/>
      <c r="F627" s="957"/>
      <c r="G627" s="37"/>
    </row>
    <row r="628" spans="1:7" ht="12.3">
      <c r="A628" s="414"/>
      <c r="B628" s="414"/>
      <c r="C628" s="414"/>
      <c r="D628" s="838"/>
      <c r="E628" s="832" t="s">
        <v>505</v>
      </c>
      <c r="F628" s="838"/>
      <c r="G628" s="37"/>
    </row>
    <row r="629" spans="1:7" ht="12.3">
      <c r="A629" s="56"/>
      <c r="B629" s="56"/>
      <c r="C629" s="414"/>
      <c r="D629" s="37"/>
      <c r="E629" s="37"/>
      <c r="F629" s="37"/>
      <c r="G629" s="37"/>
    </row>
    <row r="630" spans="1:7" ht="12" customHeight="1">
      <c r="A630" s="964" t="s">
        <v>506</v>
      </c>
      <c r="B630" s="964"/>
      <c r="C630" s="964"/>
      <c r="D630" s="964"/>
      <c r="E630" s="964"/>
      <c r="F630" s="964"/>
      <c r="G630" s="964"/>
    </row>
    <row r="631" spans="1:7" ht="12.3">
      <c r="A631" s="232"/>
      <c r="B631" s="232"/>
      <c r="C631" s="414"/>
      <c r="D631" s="37"/>
      <c r="E631" s="37"/>
      <c r="F631" s="37"/>
      <c r="G631" s="37"/>
    </row>
    <row r="632" spans="1:7" ht="12.3">
      <c r="A632" s="414"/>
      <c r="B632" s="414"/>
      <c r="C632" s="167"/>
      <c r="D632" s="965" t="s">
        <v>507</v>
      </c>
      <c r="E632" s="965"/>
      <c r="F632" s="965"/>
      <c r="G632" s="37"/>
    </row>
    <row r="633" spans="1:7" ht="12.3">
      <c r="A633" s="168"/>
      <c r="B633" s="168"/>
      <c r="C633" s="168"/>
      <c r="D633" s="960" t="s">
        <v>508</v>
      </c>
      <c r="E633" s="960"/>
      <c r="F633" s="960"/>
      <c r="G633" s="37"/>
    </row>
    <row r="634" spans="1:7" ht="12.3">
      <c r="A634" s="168"/>
      <c r="B634" s="168"/>
      <c r="C634" s="168"/>
      <c r="D634" s="37"/>
      <c r="E634" s="37"/>
      <c r="F634" s="37"/>
      <c r="G634" s="37"/>
    </row>
    <row r="635" spans="1:7" ht="12.3">
      <c r="A635" s="233"/>
      <c r="B635" s="233"/>
      <c r="C635" s="414"/>
      <c r="D635" s="973" t="s">
        <v>509</v>
      </c>
      <c r="E635" s="973"/>
      <c r="F635" s="973"/>
      <c r="G635" s="37"/>
    </row>
    <row r="636" spans="1:7" ht="12.3">
      <c r="A636" s="233"/>
      <c r="B636" s="529" t="s">
        <v>323</v>
      </c>
      <c r="C636" s="414"/>
      <c r="D636" s="963" t="s">
        <v>510</v>
      </c>
      <c r="E636" s="963"/>
      <c r="F636" s="963"/>
      <c r="G636" s="37"/>
    </row>
    <row r="637" spans="1:7" ht="12.3">
      <c r="A637" s="233"/>
      <c r="B637" s="233"/>
      <c r="C637" s="414"/>
      <c r="D637" s="232"/>
      <c r="E637" s="37"/>
      <c r="F637" s="37"/>
      <c r="G637" s="37"/>
    </row>
    <row r="638" spans="1:7" ht="12.3">
      <c r="A638" s="233"/>
      <c r="B638" s="529" t="s">
        <v>325</v>
      </c>
      <c r="C638" s="414"/>
      <c r="D638" s="938" t="s">
        <v>511</v>
      </c>
      <c r="E638" s="938"/>
      <c r="F638" s="938"/>
      <c r="G638" s="37"/>
    </row>
    <row r="639" spans="1:7" ht="12.3">
      <c r="A639" s="233"/>
      <c r="B639" s="233"/>
      <c r="C639" s="414"/>
      <c r="D639" s="938"/>
      <c r="E639" s="938"/>
      <c r="F639" s="938"/>
      <c r="G639" s="37"/>
    </row>
    <row r="640" spans="1:7" ht="12.3">
      <c r="A640" s="233"/>
      <c r="B640" s="233"/>
      <c r="C640" s="414"/>
      <c r="D640" s="232"/>
      <c r="E640" s="37"/>
      <c r="F640" s="37"/>
      <c r="G640" s="37"/>
    </row>
    <row r="641" spans="1:7" ht="12.3">
      <c r="A641" s="233"/>
      <c r="B641" s="529" t="s">
        <v>323</v>
      </c>
      <c r="C641" s="414"/>
      <c r="D641" s="938" t="s">
        <v>512</v>
      </c>
      <c r="E641" s="938"/>
      <c r="F641" s="938"/>
      <c r="G641" s="37"/>
    </row>
    <row r="642" spans="1:7" ht="14.1" customHeight="1">
      <c r="A642" s="414"/>
      <c r="B642" s="414"/>
      <c r="C642" s="414"/>
      <c r="D642" s="938"/>
      <c r="E642" s="938"/>
      <c r="F642" s="938"/>
      <c r="G642" s="37"/>
    </row>
    <row r="643" spans="1:7" ht="12.3">
      <c r="A643" s="414"/>
      <c r="B643" s="414"/>
      <c r="C643" s="414"/>
      <c r="D643" s="37"/>
      <c r="E643" s="37"/>
      <c r="F643" s="37"/>
      <c r="G643" s="37"/>
    </row>
    <row r="644" spans="1:7" ht="12.3">
      <c r="A644" s="233"/>
      <c r="B644" s="529" t="s">
        <v>325</v>
      </c>
      <c r="C644" s="414"/>
      <c r="D644" s="963" t="s">
        <v>513</v>
      </c>
      <c r="E644" s="963"/>
      <c r="F644" s="963"/>
      <c r="G644" s="37"/>
    </row>
    <row r="645" spans="1:7" ht="12.3">
      <c r="A645" s="167"/>
      <c r="B645" s="167"/>
      <c r="C645" s="167"/>
      <c r="D645" s="37"/>
      <c r="E645" s="37"/>
      <c r="F645" s="37"/>
      <c r="G645" s="37"/>
    </row>
    <row r="646" spans="1:7" ht="12.3">
      <c r="A646" s="964" t="s">
        <v>514</v>
      </c>
      <c r="B646" s="964"/>
      <c r="C646" s="964"/>
      <c r="D646" s="964"/>
      <c r="E646" s="964"/>
      <c r="F646" s="964"/>
      <c r="G646" s="964"/>
    </row>
    <row r="647" spans="1:7" ht="12.3">
      <c r="A647" s="167"/>
      <c r="B647" s="167"/>
      <c r="C647" s="167"/>
      <c r="D647" s="37"/>
      <c r="E647" s="37"/>
      <c r="F647" s="37"/>
      <c r="G647" s="37"/>
    </row>
    <row r="648" spans="1:7" ht="12.3">
      <c r="A648" s="414"/>
      <c r="B648" s="414"/>
      <c r="C648" s="18"/>
      <c r="D648" s="1000" t="s">
        <v>515</v>
      </c>
      <c r="E648" s="1000"/>
      <c r="F648" s="1000"/>
      <c r="G648" s="37"/>
    </row>
    <row r="649" spans="1:7" ht="12.3">
      <c r="A649" s="18"/>
      <c r="B649" s="18"/>
      <c r="C649" s="414"/>
      <c r="D649" s="3"/>
      <c r="E649" s="37"/>
      <c r="F649" s="37"/>
      <c r="G649" s="37"/>
    </row>
    <row r="650" spans="1:7" ht="14.25" customHeight="1">
      <c r="A650" s="233"/>
      <c r="B650" s="529" t="s">
        <v>323</v>
      </c>
      <c r="C650" s="414"/>
      <c r="D650" s="956" t="s">
        <v>516</v>
      </c>
      <c r="E650" s="956"/>
      <c r="F650" s="956"/>
      <c r="G650" s="37"/>
    </row>
    <row r="651" spans="1:7" ht="12.3">
      <c r="A651" s="233"/>
      <c r="B651" s="233"/>
      <c r="C651" s="414"/>
      <c r="D651" s="956"/>
      <c r="E651" s="956"/>
      <c r="F651" s="956"/>
      <c r="G651" s="37"/>
    </row>
    <row r="652" spans="1:7" ht="12.3">
      <c r="A652" s="414"/>
      <c r="B652" s="414"/>
      <c r="C652" s="414"/>
      <c r="D652" s="838"/>
      <c r="E652" s="832" t="s">
        <v>517</v>
      </c>
      <c r="F652" s="838"/>
      <c r="G652" s="37"/>
    </row>
    <row r="653" spans="1:7" ht="12.3">
      <c r="A653" s="414"/>
      <c r="B653" s="414"/>
      <c r="C653" s="414"/>
      <c r="D653" s="941" t="s">
        <v>518</v>
      </c>
      <c r="E653" s="941"/>
      <c r="F653" s="941"/>
      <c r="G653" s="37"/>
    </row>
    <row r="654" spans="1:7" ht="12.75" customHeight="1">
      <c r="A654" s="414"/>
      <c r="B654" s="414"/>
      <c r="C654" s="414"/>
      <c r="D654" s="941"/>
      <c r="E654" s="941"/>
      <c r="F654" s="941"/>
      <c r="G654" s="37"/>
    </row>
    <row r="655" spans="1:7" ht="12.3">
      <c r="A655" s="414"/>
      <c r="B655"/>
      <c r="C655" s="414"/>
      <c r="D655" s="941"/>
      <c r="E655" s="941"/>
      <c r="F655" s="941"/>
      <c r="G655" s="37"/>
    </row>
    <row r="656" spans="1:7" ht="12.3">
      <c r="A656" s="414"/>
      <c r="B656" s="414"/>
      <c r="C656" s="414"/>
      <c r="D656" s="37"/>
      <c r="E656" s="37"/>
      <c r="F656" s="37"/>
      <c r="G656" s="37"/>
    </row>
    <row r="657" spans="1:9" ht="12.3">
      <c r="A657" s="259"/>
      <c r="B657" s="529" t="s">
        <v>325</v>
      </c>
      <c r="C657" s="414"/>
      <c r="D657" s="1001" t="s">
        <v>519</v>
      </c>
      <c r="E657" s="1001"/>
      <c r="F657" s="1001"/>
      <c r="G657" s="232"/>
    </row>
    <row r="658" spans="1:9" ht="12.3">
      <c r="A658" s="259"/>
      <c r="B658" s="259"/>
      <c r="C658" s="414"/>
      <c r="D658" s="1001"/>
      <c r="E658" s="1001"/>
      <c r="F658" s="1001"/>
      <c r="G658" s="232"/>
    </row>
    <row r="659" spans="1:9" ht="12.3">
      <c r="A659" s="259"/>
      <c r="B659" s="259"/>
      <c r="C659" s="414"/>
      <c r="D659" s="232"/>
      <c r="E659" s="232"/>
      <c r="F659" s="232"/>
      <c r="G659" s="232"/>
    </row>
    <row r="660" spans="1:9" ht="14.1" customHeight="1">
      <c r="A660" s="259"/>
      <c r="B660" s="529" t="s">
        <v>325</v>
      </c>
      <c r="C660" s="414"/>
      <c r="D660" s="974" t="s">
        <v>520</v>
      </c>
      <c r="E660" s="974"/>
      <c r="F660" s="974"/>
      <c r="G660" s="232"/>
    </row>
    <row r="661" spans="1:9" ht="12.3">
      <c r="A661" s="259"/>
      <c r="B661" s="259"/>
      <c r="C661" s="414"/>
      <c r="D661" s="974"/>
      <c r="E661" s="974"/>
      <c r="F661" s="974"/>
      <c r="G661" s="232"/>
    </row>
    <row r="662" spans="1:9" ht="12.3">
      <c r="A662" s="233"/>
      <c r="B662" s="233"/>
      <c r="C662" s="414"/>
      <c r="D662" s="545"/>
      <c r="E662" s="545"/>
      <c r="F662" s="545"/>
      <c r="G662" s="232"/>
    </row>
    <row r="663" spans="1:9" ht="12.3">
      <c r="A663" s="233"/>
      <c r="B663" s="529" t="s">
        <v>325</v>
      </c>
      <c r="C663" s="868"/>
      <c r="D663" s="1002" t="s">
        <v>521</v>
      </c>
      <c r="E663" s="1002"/>
      <c r="F663" s="1002"/>
      <c r="G663" s="232"/>
    </row>
    <row r="664" spans="1:9" ht="12.3">
      <c r="A664" s="232"/>
      <c r="B664" s="232"/>
      <c r="C664" s="868"/>
      <c r="D664" s="232"/>
      <c r="E664" s="232"/>
      <c r="F664" s="232"/>
      <c r="G664" s="232"/>
      <c r="H664" s="229"/>
      <c r="I664" s="229"/>
    </row>
    <row r="665" spans="1:9" ht="12.3">
      <c r="A665" s="964" t="s">
        <v>522</v>
      </c>
      <c r="B665" s="964"/>
      <c r="C665" s="964"/>
      <c r="D665" s="964"/>
      <c r="E665" s="964"/>
      <c r="F665" s="964"/>
      <c r="G665" s="964"/>
    </row>
    <row r="666" spans="1:9" ht="12.3">
      <c r="A666" s="232"/>
      <c r="B666" s="232"/>
      <c r="C666" s="868"/>
      <c r="D666" s="232"/>
      <c r="E666" s="232"/>
      <c r="F666" s="232"/>
      <c r="G666" s="232"/>
    </row>
    <row r="667" spans="1:9" ht="12.3">
      <c r="A667" s="414"/>
      <c r="B667" s="414"/>
      <c r="C667" s="167"/>
      <c r="D667" s="965" t="s">
        <v>523</v>
      </c>
      <c r="E667" s="965"/>
      <c r="F667" s="965"/>
      <c r="G667" s="232"/>
    </row>
    <row r="668" spans="1:9" ht="12.3">
      <c r="A668" s="168"/>
      <c r="B668" s="168"/>
      <c r="C668" s="168"/>
      <c r="D668" s="960" t="s">
        <v>524</v>
      </c>
      <c r="E668" s="960"/>
      <c r="F668" s="960"/>
      <c r="G668" s="232"/>
    </row>
    <row r="669" spans="1:9" ht="12.3">
      <c r="A669" s="168"/>
      <c r="B669" s="168"/>
      <c r="C669" s="168"/>
      <c r="D669" s="232"/>
      <c r="E669" s="232"/>
      <c r="F669" s="232"/>
      <c r="G669" s="232"/>
    </row>
    <row r="670" spans="1:9" ht="14.85" customHeight="1">
      <c r="A670" s="233"/>
      <c r="B670" s="529" t="s">
        <v>323</v>
      </c>
      <c r="C670" s="868"/>
      <c r="D670" s="938" t="s">
        <v>525</v>
      </c>
      <c r="E670" s="938"/>
      <c r="F670" s="938"/>
      <c r="G670" s="232"/>
    </row>
    <row r="671" spans="1:9" ht="12.3">
      <c r="A671" s="233"/>
      <c r="B671" s="233"/>
      <c r="C671" s="868"/>
      <c r="D671" s="938"/>
      <c r="E671" s="938"/>
      <c r="F671" s="938"/>
      <c r="G671" s="232"/>
    </row>
    <row r="672" spans="1:9" ht="12.3">
      <c r="A672" s="233"/>
      <c r="B672" s="233"/>
      <c r="C672" s="868"/>
      <c r="D672" s="938"/>
      <c r="E672" s="938"/>
      <c r="F672" s="938"/>
      <c r="G672" s="232"/>
    </row>
    <row r="673" spans="1:7" ht="12.3">
      <c r="A673" s="233"/>
      <c r="B673" s="233"/>
      <c r="C673" s="868"/>
      <c r="D673" s="938"/>
      <c r="E673" s="938"/>
      <c r="F673" s="938"/>
      <c r="G673" s="232"/>
    </row>
    <row r="674" spans="1:7" ht="12.3">
      <c r="A674" s="233"/>
      <c r="B674" s="233"/>
      <c r="C674" s="868"/>
      <c r="D674" s="938"/>
      <c r="E674" s="938"/>
      <c r="F674" s="938"/>
      <c r="G674" s="232"/>
    </row>
    <row r="675" spans="1:7" ht="12.3">
      <c r="A675" s="233"/>
      <c r="B675" s="233"/>
      <c r="C675" s="868"/>
      <c r="D675" s="938"/>
      <c r="E675" s="938"/>
      <c r="F675" s="938"/>
      <c r="G675" s="232"/>
    </row>
    <row r="676" spans="1:7" ht="12.3" hidden="1">
      <c r="A676" s="233"/>
      <c r="B676" s="233"/>
      <c r="C676" s="868"/>
      <c r="D676" s="301"/>
      <c r="E676" s="37"/>
      <c r="F676" s="232"/>
      <c r="G676" s="232"/>
    </row>
    <row r="677" spans="1:7" ht="12.3" hidden="1">
      <c r="A677" s="233"/>
      <c r="B677" s="529" t="s">
        <v>320</v>
      </c>
      <c r="C677" s="868"/>
      <c r="D677" s="989" t="s">
        <v>526</v>
      </c>
      <c r="E677" s="989"/>
      <c r="F677" s="989"/>
      <c r="G677" s="232"/>
    </row>
    <row r="678" spans="1:7" ht="12.3" hidden="1">
      <c r="A678" s="233"/>
      <c r="B678" s="233"/>
      <c r="C678" s="868"/>
      <c r="D678" s="972" t="s">
        <v>527</v>
      </c>
      <c r="E678" s="972"/>
      <c r="F678" s="972"/>
      <c r="G678" s="232"/>
    </row>
    <row r="679" spans="1:7" ht="12.3" hidden="1">
      <c r="A679" s="233"/>
      <c r="B679" s="233"/>
      <c r="C679" s="868"/>
      <c r="D679" s="972"/>
      <c r="E679" s="972"/>
      <c r="F679" s="972"/>
      <c r="G679" s="232"/>
    </row>
    <row r="680" spans="1:7" ht="12.3" hidden="1">
      <c r="A680" s="233"/>
      <c r="B680" s="233"/>
      <c r="C680" s="868"/>
      <c r="D680" s="972"/>
      <c r="E680" s="972"/>
      <c r="F680" s="972"/>
      <c r="G680" s="232"/>
    </row>
    <row r="681" spans="1:7" ht="12.3" hidden="1">
      <c r="A681" s="233"/>
      <c r="B681" s="233"/>
      <c r="C681" s="868"/>
      <c r="D681" s="972"/>
      <c r="E681" s="972"/>
      <c r="F681" s="972"/>
      <c r="G681" s="232"/>
    </row>
    <row r="682" spans="1:7" ht="12.3" hidden="1">
      <c r="A682" s="233"/>
      <c r="B682" s="233"/>
      <c r="C682" s="868"/>
      <c r="D682" s="972"/>
      <c r="E682" s="972"/>
      <c r="F682" s="972"/>
      <c r="G682" s="232"/>
    </row>
    <row r="683" spans="1:7" ht="12.3" hidden="1">
      <c r="A683" s="233"/>
      <c r="B683" s="233"/>
      <c r="C683" s="868"/>
      <c r="D683" s="1003" t="s">
        <v>528</v>
      </c>
      <c r="E683" s="1003"/>
      <c r="F683" s="1003"/>
      <c r="G683" s="232"/>
    </row>
    <row r="684" spans="1:7" ht="12.3">
      <c r="A684" s="232"/>
      <c r="B684" s="232"/>
      <c r="C684" s="868"/>
      <c r="D684" s="232"/>
      <c r="E684" s="232"/>
      <c r="F684" s="232"/>
      <c r="G684" s="232"/>
    </row>
    <row r="685" spans="1:7" ht="12.3">
      <c r="A685" s="964" t="s">
        <v>529</v>
      </c>
      <c r="B685" s="964"/>
      <c r="C685" s="964"/>
      <c r="D685" s="964"/>
      <c r="E685" s="964"/>
      <c r="F685" s="964"/>
      <c r="G685" s="964"/>
    </row>
    <row r="686" spans="1:7" ht="12.3">
      <c r="A686" s="232"/>
      <c r="B686" s="232"/>
      <c r="C686" s="868"/>
      <c r="D686" s="232"/>
      <c r="E686" s="232"/>
      <c r="F686" s="232"/>
      <c r="G686" s="232"/>
    </row>
    <row r="687" spans="1:7" ht="12.3">
      <c r="A687" s="414"/>
      <c r="B687" s="414"/>
      <c r="C687" s="167"/>
      <c r="D687" s="965" t="s">
        <v>530</v>
      </c>
      <c r="E687" s="965"/>
      <c r="F687" s="965"/>
      <c r="G687" s="232"/>
    </row>
    <row r="688" spans="1:7" ht="12.3">
      <c r="A688" s="167"/>
      <c r="B688" s="167"/>
      <c r="C688" s="167"/>
      <c r="D688" s="965" t="s">
        <v>531</v>
      </c>
      <c r="E688" s="965"/>
      <c r="F688" s="965"/>
      <c r="G688" s="232"/>
    </row>
    <row r="689" spans="1:6" ht="12.3">
      <c r="A689" s="168"/>
      <c r="B689" s="168"/>
      <c r="C689" s="168"/>
      <c r="D689" s="960" t="s">
        <v>532</v>
      </c>
      <c r="E689" s="960"/>
      <c r="F689" s="960"/>
    </row>
    <row r="690" spans="1:6" ht="14.25" customHeight="1">
      <c r="A690" s="168"/>
      <c r="B690" s="168"/>
      <c r="C690" s="168"/>
      <c r="D690" s="37"/>
      <c r="E690" s="37"/>
      <c r="F690" s="37"/>
    </row>
    <row r="691" spans="1:6" ht="12.3">
      <c r="A691" s="233"/>
      <c r="B691" s="529" t="s">
        <v>325</v>
      </c>
      <c r="C691" s="168"/>
      <c r="D691" s="960" t="s">
        <v>533</v>
      </c>
      <c r="E691" s="960"/>
      <c r="F691" s="960"/>
    </row>
    <row r="692" spans="1:6" ht="12.3">
      <c r="A692" s="168"/>
      <c r="B692" s="168"/>
      <c r="C692" s="168"/>
      <c r="D692" s="960" t="s">
        <v>534</v>
      </c>
      <c r="E692" s="960"/>
      <c r="F692" s="960"/>
    </row>
    <row r="693" spans="1:6" ht="12.75" customHeight="1">
      <c r="A693" s="168"/>
      <c r="B693" s="168"/>
      <c r="C693" s="168"/>
      <c r="D693" s="37"/>
      <c r="E693" s="832" t="s">
        <v>535</v>
      </c>
      <c r="F693" s="15"/>
    </row>
    <row r="694" spans="1:6" ht="12.3">
      <c r="A694" s="168"/>
      <c r="B694" s="168"/>
      <c r="C694" s="168"/>
      <c r="D694" s="37"/>
      <c r="E694" s="831" t="s">
        <v>536</v>
      </c>
      <c r="F694" s="15"/>
    </row>
    <row r="695" spans="1:6" ht="12.3">
      <c r="A695" s="168"/>
      <c r="B695" s="168"/>
      <c r="C695" s="168"/>
      <c r="D695" s="866"/>
      <c r="E695" s="866"/>
      <c r="F695" s="866"/>
    </row>
    <row r="696" spans="1:6" ht="12.3">
      <c r="A696" s="233"/>
      <c r="B696" s="529" t="s">
        <v>325</v>
      </c>
      <c r="C696" s="168"/>
      <c r="D696" s="938" t="s">
        <v>537</v>
      </c>
      <c r="E696" s="938"/>
      <c r="F696" s="938"/>
    </row>
    <row r="697" spans="1:6" ht="12.3">
      <c r="A697" s="18"/>
      <c r="B697" s="18"/>
      <c r="C697" s="168"/>
      <c r="D697" s="938"/>
      <c r="E697" s="938"/>
      <c r="F697" s="938"/>
    </row>
    <row r="698" spans="1:6" ht="12.3">
      <c r="A698" s="168"/>
      <c r="B698" s="168"/>
      <c r="C698" s="168"/>
      <c r="D698" s="938"/>
      <c r="E698" s="938"/>
      <c r="F698" s="938"/>
    </row>
    <row r="699" spans="1:6" ht="12.3">
      <c r="A699" s="168"/>
      <c r="B699" s="168"/>
      <c r="C699" s="168"/>
      <c r="D699" s="37"/>
      <c r="E699" s="37"/>
      <c r="F699" s="37"/>
    </row>
    <row r="700" spans="1:6" ht="12.3">
      <c r="A700" s="233"/>
      <c r="B700" s="529" t="s">
        <v>323</v>
      </c>
      <c r="C700" s="168"/>
      <c r="D700" s="960" t="s">
        <v>538</v>
      </c>
      <c r="E700" s="960"/>
      <c r="F700" s="960"/>
    </row>
    <row r="701" spans="1:6" ht="12.3">
      <c r="A701" s="233"/>
      <c r="B701" s="233"/>
      <c r="C701" s="168"/>
      <c r="D701" s="960" t="s">
        <v>534</v>
      </c>
      <c r="E701" s="960"/>
      <c r="F701" s="960"/>
    </row>
    <row r="702" spans="1:6" ht="12.3">
      <c r="A702" s="168"/>
      <c r="B702" s="168"/>
      <c r="C702" s="168"/>
      <c r="D702" s="37"/>
      <c r="E702" s="976" t="s">
        <v>539</v>
      </c>
      <c r="F702" s="976"/>
    </row>
    <row r="703" spans="1:6" ht="12.3">
      <c r="A703" s="168"/>
      <c r="B703" s="168"/>
      <c r="C703" s="168"/>
      <c r="D703" s="3"/>
      <c r="E703" s="37"/>
      <c r="F703" s="37"/>
    </row>
    <row r="704" spans="1:6" ht="12.3">
      <c r="A704" s="233"/>
      <c r="B704" s="529" t="s">
        <v>323</v>
      </c>
      <c r="C704" s="168"/>
      <c r="D704" s="938" t="s">
        <v>540</v>
      </c>
      <c r="E704" s="938"/>
      <c r="F704" s="938"/>
    </row>
    <row r="705" spans="1:6" ht="12.3">
      <c r="A705" s="168"/>
      <c r="B705" s="168"/>
      <c r="C705" s="168"/>
      <c r="D705" s="938"/>
      <c r="E705" s="938"/>
      <c r="F705" s="938"/>
    </row>
    <row r="706" spans="1:6" ht="12.3">
      <c r="A706" s="168"/>
      <c r="B706" s="168"/>
      <c r="C706" s="168"/>
      <c r="D706" s="938"/>
      <c r="E706" s="938"/>
      <c r="F706" s="938"/>
    </row>
    <row r="707" spans="1:6" ht="12.3">
      <c r="A707" s="168"/>
      <c r="B707" s="168"/>
      <c r="C707" s="168"/>
      <c r="D707" s="938"/>
      <c r="E707" s="938"/>
      <c r="F707" s="938"/>
    </row>
    <row r="708" spans="1:6" ht="12.3">
      <c r="A708" s="168"/>
      <c r="B708" s="168"/>
      <c r="C708" s="168"/>
      <c r="D708" s="938"/>
      <c r="E708" s="938"/>
      <c r="F708" s="938"/>
    </row>
    <row r="709" spans="1:6" ht="12.3">
      <c r="A709" s="168"/>
      <c r="B709" s="168"/>
      <c r="C709" s="168"/>
      <c r="D709" s="938"/>
      <c r="E709" s="938"/>
      <c r="F709" s="938"/>
    </row>
    <row r="710" spans="1:6" ht="12.3">
      <c r="A710" s="168"/>
      <c r="B710" s="168"/>
      <c r="C710" s="168"/>
      <c r="D710" s="938"/>
      <c r="E710" s="938"/>
      <c r="F710" s="938"/>
    </row>
    <row r="711" spans="1:6" ht="12.3">
      <c r="A711" s="168"/>
      <c r="B711" s="529" t="s">
        <v>323</v>
      </c>
      <c r="C711" s="168"/>
      <c r="D711" s="938" t="s">
        <v>541</v>
      </c>
      <c r="E711" s="938"/>
      <c r="F711" s="938"/>
    </row>
    <row r="712" spans="1:6" ht="12.3">
      <c r="A712" s="168"/>
      <c r="B712" s="168"/>
      <c r="C712" s="168"/>
      <c r="D712" s="938"/>
      <c r="E712" s="938"/>
      <c r="F712" s="938"/>
    </row>
    <row r="713" spans="1:6" ht="12.3">
      <c r="A713" s="168"/>
      <c r="B713" s="168"/>
      <c r="C713" s="168"/>
      <c r="D713" s="37"/>
      <c r="E713" s="37"/>
      <c r="F713" s="37"/>
    </row>
    <row r="714" spans="1:6" ht="14.85" customHeight="1">
      <c r="A714" s="233"/>
      <c r="B714" s="529" t="s">
        <v>325</v>
      </c>
      <c r="C714" s="168"/>
      <c r="D714" s="938" t="s">
        <v>542</v>
      </c>
      <c r="E714" s="938"/>
      <c r="F714" s="938"/>
    </row>
    <row r="715" spans="1:6" ht="12.3">
      <c r="A715" s="168"/>
      <c r="B715" s="168"/>
      <c r="C715" s="168"/>
      <c r="D715" s="938"/>
      <c r="E715" s="938"/>
      <c r="F715" s="938"/>
    </row>
    <row r="716" spans="1:6" ht="12.3">
      <c r="A716" s="168"/>
      <c r="B716" s="168"/>
      <c r="C716" s="168"/>
      <c r="D716" s="938"/>
      <c r="E716" s="938"/>
      <c r="F716" s="938"/>
    </row>
    <row r="717" spans="1:6" ht="12.3">
      <c r="A717" s="168"/>
      <c r="B717" s="168"/>
      <c r="C717" s="168"/>
      <c r="D717" s="938"/>
      <c r="E717" s="938"/>
      <c r="F717" s="938"/>
    </row>
    <row r="718" spans="1:6" ht="12.3">
      <c r="A718" s="168"/>
      <c r="B718" s="168"/>
      <c r="C718" s="168"/>
      <c r="D718" s="938"/>
      <c r="E718" s="938"/>
      <c r="F718" s="938"/>
    </row>
    <row r="719" spans="1:6" ht="12.3">
      <c r="A719" s="168"/>
      <c r="B719" s="168"/>
      <c r="C719" s="168"/>
      <c r="D719" s="938"/>
      <c r="E719" s="938"/>
      <c r="F719" s="938"/>
    </row>
    <row r="720" spans="1:6" ht="12.3">
      <c r="A720" s="168"/>
      <c r="B720" s="168"/>
      <c r="C720" s="168"/>
      <c r="D720" s="938"/>
      <c r="E720" s="938"/>
      <c r="F720" s="938"/>
    </row>
    <row r="721" spans="1:9" ht="12.3">
      <c r="A721" s="168"/>
      <c r="B721" s="168"/>
      <c r="C721" s="168"/>
      <c r="D721" s="938"/>
      <c r="E721" s="938"/>
      <c r="F721" s="938"/>
      <c r="G721" s="37"/>
    </row>
    <row r="722" spans="1:9" ht="12.3">
      <c r="A722" s="168"/>
      <c r="B722" s="168"/>
      <c r="C722" s="168"/>
      <c r="D722" s="938"/>
      <c r="E722" s="938"/>
      <c r="F722" s="938"/>
      <c r="G722" s="37"/>
    </row>
    <row r="723" spans="1:9" ht="12.3">
      <c r="A723" s="168"/>
      <c r="B723" s="168"/>
      <c r="C723" s="168"/>
      <c r="D723" s="938"/>
      <c r="E723" s="938"/>
      <c r="F723" s="938"/>
      <c r="G723" s="37"/>
    </row>
    <row r="724" spans="1:9" ht="12.3">
      <c r="A724" s="168"/>
      <c r="B724" s="168"/>
      <c r="C724" s="168"/>
      <c r="D724" s="938"/>
      <c r="E724" s="938"/>
      <c r="F724" s="938"/>
      <c r="G724" s="37"/>
    </row>
    <row r="725" spans="1:9" ht="12.3">
      <c r="A725" s="168"/>
      <c r="B725" s="168"/>
      <c r="C725" s="168"/>
      <c r="D725" s="938"/>
      <c r="E725" s="938"/>
      <c r="F725" s="938"/>
      <c r="G725" s="37"/>
    </row>
    <row r="726" spans="1:9" ht="12.3">
      <c r="A726" s="168"/>
      <c r="B726" s="168"/>
      <c r="C726" s="168"/>
      <c r="D726" s="938"/>
      <c r="E726" s="938"/>
      <c r="F726" s="938"/>
      <c r="G726" s="37"/>
    </row>
    <row r="727" spans="1:9" ht="12.3">
      <c r="A727" s="168"/>
      <c r="B727" s="529" t="s">
        <v>325</v>
      </c>
      <c r="C727" s="168"/>
      <c r="D727" s="938" t="s">
        <v>543</v>
      </c>
      <c r="E727" s="938"/>
      <c r="F727" s="938"/>
      <c r="G727" s="37"/>
      <c r="H727" s="229"/>
      <c r="I727" s="229"/>
    </row>
    <row r="728" spans="1:9" ht="12.3">
      <c r="A728" s="168"/>
      <c r="B728" s="168"/>
      <c r="C728" s="168"/>
      <c r="D728" s="938"/>
      <c r="E728" s="938"/>
      <c r="F728" s="938"/>
      <c r="G728" s="37"/>
      <c r="H728" s="229"/>
      <c r="I728" s="229"/>
    </row>
    <row r="729" spans="1:9" ht="12.3">
      <c r="A729" s="168"/>
      <c r="B729" s="168"/>
      <c r="C729" s="168"/>
      <c r="D729" s="178"/>
      <c r="E729" s="178"/>
      <c r="F729" s="178"/>
      <c r="G729" s="37"/>
      <c r="H729" s="229"/>
      <c r="I729" s="229"/>
    </row>
    <row r="730" spans="1:9" ht="12.3">
      <c r="A730" s="168"/>
      <c r="B730" s="529" t="s">
        <v>325</v>
      </c>
      <c r="C730" s="168"/>
      <c r="D730" s="938" t="s">
        <v>544</v>
      </c>
      <c r="E730" s="938"/>
      <c r="F730" s="938"/>
      <c r="G730" s="37"/>
      <c r="H730" s="229"/>
      <c r="I730" s="229"/>
    </row>
    <row r="731" spans="1:9" ht="12.3">
      <c r="A731" s="168"/>
      <c r="B731" s="168"/>
      <c r="C731" s="168"/>
      <c r="D731" s="938"/>
      <c r="E731" s="938"/>
      <c r="F731" s="938"/>
      <c r="G731" s="37"/>
      <c r="H731" s="229"/>
      <c r="I731" s="229"/>
    </row>
    <row r="732" spans="1:9" ht="12.3">
      <c r="A732" s="168"/>
      <c r="B732" s="168"/>
      <c r="C732" s="168"/>
      <c r="D732" s="938"/>
      <c r="E732" s="938"/>
      <c r="F732" s="938"/>
      <c r="G732" s="37"/>
      <c r="H732" s="229"/>
      <c r="I732" s="229"/>
    </row>
    <row r="733" spans="1:9" ht="12.3">
      <c r="A733" s="168"/>
      <c r="B733" s="168"/>
      <c r="C733" s="168"/>
      <c r="D733" s="178"/>
      <c r="E733" s="178"/>
      <c r="F733" s="178"/>
      <c r="G733" s="37"/>
      <c r="H733" s="229"/>
      <c r="I733" s="229"/>
    </row>
    <row r="734" spans="1:9" ht="14.85" customHeight="1">
      <c r="A734" s="233"/>
      <c r="B734" s="529" t="s">
        <v>325</v>
      </c>
      <c r="C734" s="168"/>
      <c r="D734" s="938" t="s">
        <v>545</v>
      </c>
      <c r="E734" s="938"/>
      <c r="F734" s="938"/>
      <c r="G734" s="37"/>
    </row>
    <row r="735" spans="1:9" ht="12.3">
      <c r="A735" s="168"/>
      <c r="B735" s="168"/>
      <c r="C735" s="168"/>
      <c r="D735" s="938"/>
      <c r="E735" s="938"/>
      <c r="F735" s="938"/>
      <c r="G735" s="37"/>
    </row>
    <row r="736" spans="1:9" ht="12.3">
      <c r="A736" s="168"/>
      <c r="B736" s="168"/>
      <c r="C736" s="168"/>
      <c r="D736" s="938"/>
      <c r="E736" s="938"/>
      <c r="F736" s="938"/>
      <c r="G736" s="37"/>
    </row>
    <row r="737" spans="1:9" ht="12.3">
      <c r="A737" s="168"/>
      <c r="B737" s="168"/>
      <c r="C737" s="168"/>
      <c r="D737" s="37"/>
      <c r="E737" s="37"/>
      <c r="F737" s="37"/>
      <c r="G737" s="37"/>
    </row>
    <row r="738" spans="1:9" ht="14.85" customHeight="1">
      <c r="A738" s="233"/>
      <c r="B738" s="529" t="s">
        <v>325</v>
      </c>
      <c r="C738" s="168"/>
      <c r="D738" s="938" t="s">
        <v>546</v>
      </c>
      <c r="E738" s="938"/>
      <c r="F738" s="938"/>
      <c r="G738" s="37"/>
    </row>
    <row r="739" spans="1:9" ht="12.3">
      <c r="A739" s="168"/>
      <c r="B739" s="168"/>
      <c r="C739" s="168"/>
      <c r="D739" s="938"/>
      <c r="E739" s="938"/>
      <c r="F739" s="938"/>
      <c r="G739" s="37"/>
    </row>
    <row r="740" spans="1:9" ht="12.3">
      <c r="A740" s="168"/>
      <c r="B740" s="168"/>
      <c r="C740" s="168"/>
      <c r="D740" s="938"/>
      <c r="E740" s="938"/>
      <c r="F740" s="938"/>
      <c r="G740" s="37"/>
    </row>
    <row r="741" spans="1:9" ht="12.3">
      <c r="A741" s="168"/>
      <c r="B741" s="168"/>
      <c r="C741" s="168"/>
      <c r="D741" s="866"/>
      <c r="E741" s="37"/>
      <c r="F741" s="37"/>
      <c r="G741" s="37"/>
      <c r="H741" s="229"/>
      <c r="I741" s="229"/>
    </row>
    <row r="742" spans="1:9" ht="12.3">
      <c r="A742" s="233"/>
      <c r="B742" s="529" t="s">
        <v>325</v>
      </c>
      <c r="C742" s="168"/>
      <c r="D742" s="938" t="s">
        <v>547</v>
      </c>
      <c r="E742" s="938"/>
      <c r="F742" s="938"/>
      <c r="G742" s="37"/>
    </row>
    <row r="743" spans="1:9" ht="12.3">
      <c r="A743" s="168"/>
      <c r="B743" s="168"/>
      <c r="C743" s="168"/>
      <c r="D743" s="938"/>
      <c r="E743" s="938"/>
      <c r="F743" s="938"/>
      <c r="G743" s="37"/>
    </row>
    <row r="744" spans="1:9" ht="12.3">
      <c r="A744" s="168"/>
      <c r="B744" s="168"/>
      <c r="C744" s="168"/>
      <c r="D744" s="938"/>
      <c r="E744" s="938"/>
      <c r="F744" s="938"/>
      <c r="G744" s="37"/>
    </row>
    <row r="745" spans="1:9" ht="12.3">
      <c r="A745" s="168"/>
      <c r="B745" s="168"/>
      <c r="C745" s="168"/>
      <c r="D745" s="938"/>
      <c r="E745" s="938"/>
      <c r="F745" s="938"/>
      <c r="G745" s="37"/>
    </row>
    <row r="746" spans="1:9" ht="12.3">
      <c r="A746" s="168"/>
      <c r="B746" s="168"/>
      <c r="C746" s="168"/>
      <c r="D746" s="178"/>
      <c r="E746" s="178"/>
      <c r="F746" s="178"/>
      <c r="G746" s="37"/>
    </row>
    <row r="747" spans="1:9" ht="12.3">
      <c r="A747" s="233"/>
      <c r="B747" s="529" t="s">
        <v>325</v>
      </c>
      <c r="C747" s="168"/>
      <c r="D747" s="938" t="s">
        <v>548</v>
      </c>
      <c r="E747" s="938"/>
      <c r="F747" s="938"/>
      <c r="G747" s="37"/>
      <c r="H747" s="229"/>
      <c r="I747" s="229"/>
    </row>
    <row r="748" spans="1:9" ht="12.3">
      <c r="A748" s="168"/>
      <c r="B748" s="168"/>
      <c r="C748" s="168"/>
      <c r="D748" s="938"/>
      <c r="E748" s="938"/>
      <c r="F748" s="938"/>
      <c r="G748" s="37"/>
      <c r="H748" s="229"/>
      <c r="I748" s="229"/>
    </row>
    <row r="749" spans="1:9" ht="12.3">
      <c r="A749" s="168"/>
      <c r="B749" s="168"/>
      <c r="C749" s="168"/>
      <c r="D749" s="938"/>
      <c r="E749" s="938"/>
      <c r="F749" s="938"/>
      <c r="G749" s="37"/>
      <c r="H749" s="229"/>
      <c r="I749" s="229"/>
    </row>
    <row r="750" spans="1:9" ht="12.3">
      <c r="A750" s="168"/>
      <c r="B750" s="168"/>
      <c r="C750" s="168"/>
      <c r="D750" s="938"/>
      <c r="E750" s="938"/>
      <c r="F750" s="938"/>
      <c r="G750" s="37"/>
      <c r="H750" s="229"/>
      <c r="I750" s="229"/>
    </row>
    <row r="751" spans="1:9" ht="12.3">
      <c r="A751" s="168"/>
      <c r="B751" s="168"/>
      <c r="C751" s="168"/>
      <c r="D751" s="938"/>
      <c r="E751" s="938"/>
      <c r="F751" s="938"/>
      <c r="G751" s="37"/>
      <c r="H751" s="229"/>
      <c r="I751" s="229"/>
    </row>
    <row r="752" spans="1:9" ht="12.3">
      <c r="A752" s="168"/>
      <c r="B752" s="168"/>
      <c r="C752" s="168"/>
      <c r="D752" s="938"/>
      <c r="E752" s="938"/>
      <c r="F752" s="938"/>
      <c r="G752" s="37"/>
      <c r="H752" s="229"/>
      <c r="I752" s="229"/>
    </row>
    <row r="753" spans="1:9" ht="12.3">
      <c r="A753" s="168"/>
      <c r="B753" s="168"/>
      <c r="C753" s="168"/>
      <c r="D753" s="938"/>
      <c r="E753" s="938"/>
      <c r="F753" s="938"/>
      <c r="G753" s="37"/>
      <c r="H753" s="229"/>
      <c r="I753" s="229"/>
    </row>
    <row r="754" spans="1:9" ht="12.3">
      <c r="A754" s="168"/>
      <c r="B754" s="168"/>
      <c r="C754" s="168"/>
      <c r="D754" s="998" t="s">
        <v>549</v>
      </c>
      <c r="E754" s="998"/>
      <c r="F754" s="998"/>
      <c r="G754" s="37"/>
      <c r="H754" s="229"/>
      <c r="I754" s="229"/>
    </row>
    <row r="755" spans="1:9" ht="12.3">
      <c r="A755" s="168"/>
      <c r="B755" s="168"/>
      <c r="C755" s="168"/>
      <c r="D755" s="481"/>
      <c r="E755" s="37"/>
      <c r="F755" s="37"/>
      <c r="G755" s="37"/>
      <c r="H755" s="229"/>
      <c r="I755" s="229"/>
    </row>
    <row r="756" spans="1:9" ht="12.3">
      <c r="A756" s="984" t="s">
        <v>550</v>
      </c>
      <c r="B756" s="984"/>
      <c r="C756" s="984"/>
      <c r="D756" s="984"/>
      <c r="E756" s="984"/>
      <c r="F756" s="984"/>
      <c r="G756" s="984"/>
      <c r="H756" s="229"/>
      <c r="I756" s="229"/>
    </row>
    <row r="757" spans="1:9" ht="12.3">
      <c r="A757" s="168"/>
      <c r="B757" s="168"/>
      <c r="C757" s="168"/>
      <c r="D757" s="866"/>
      <c r="E757" s="37"/>
      <c r="F757" s="37"/>
      <c r="G757" s="37"/>
      <c r="H757" s="229"/>
      <c r="I757" s="229"/>
    </row>
    <row r="758" spans="1:9" ht="12.3">
      <c r="A758" s="414"/>
      <c r="B758" s="414"/>
      <c r="C758" s="168"/>
      <c r="D758" s="966" t="s">
        <v>551</v>
      </c>
      <c r="E758" s="966"/>
      <c r="F758" s="966"/>
      <c r="G758" s="37"/>
      <c r="H758" s="229"/>
      <c r="I758" s="229"/>
    </row>
    <row r="759" spans="1:9" ht="12.3">
      <c r="A759" s="167"/>
      <c r="B759" s="167"/>
      <c r="C759" s="167"/>
      <c r="D759" s="963" t="s">
        <v>552</v>
      </c>
      <c r="E759" s="963"/>
      <c r="F759" s="963"/>
      <c r="G759" s="37"/>
      <c r="H759" s="229"/>
      <c r="I759" s="229"/>
    </row>
    <row r="760" spans="1:9" ht="12.3">
      <c r="A760" s="168"/>
      <c r="B760" s="168"/>
      <c r="C760" s="168"/>
      <c r="D760" s="37"/>
      <c r="E760" s="37"/>
      <c r="F760" s="37"/>
      <c r="G760" s="37"/>
      <c r="H760" s="229"/>
      <c r="I760" s="229"/>
    </row>
    <row r="761" spans="1:9" ht="14.25" customHeight="1">
      <c r="A761" s="233"/>
      <c r="B761" s="529" t="s">
        <v>323</v>
      </c>
      <c r="C761" s="414"/>
      <c r="D761" s="938" t="s">
        <v>553</v>
      </c>
      <c r="E761" s="938"/>
      <c r="F761" s="938"/>
      <c r="G761" s="37"/>
      <c r="H761" s="229"/>
      <c r="I761" s="229"/>
    </row>
    <row r="762" spans="1:9" ht="11.25" customHeight="1">
      <c r="A762" s="414"/>
      <c r="B762" s="414"/>
      <c r="C762" s="414"/>
      <c r="D762" s="938"/>
      <c r="E762" s="938"/>
      <c r="F762" s="938"/>
      <c r="G762" s="37"/>
      <c r="H762" s="229"/>
      <c r="I762" s="229"/>
    </row>
    <row r="763" spans="1:9" ht="12.3">
      <c r="A763" s="414"/>
      <c r="B763" s="414"/>
      <c r="C763" s="414"/>
      <c r="D763" s="938"/>
      <c r="E763" s="938"/>
      <c r="F763" s="938"/>
      <c r="G763" s="37"/>
      <c r="H763" s="229"/>
      <c r="I763" s="229"/>
    </row>
    <row r="764" spans="1:9" ht="12.3">
      <c r="A764" s="414"/>
      <c r="B764" s="414"/>
      <c r="C764" s="414"/>
      <c r="D764" s="938"/>
      <c r="E764" s="938"/>
      <c r="F764" s="938"/>
      <c r="G764" s="37"/>
      <c r="H764" s="229"/>
      <c r="I764" s="229"/>
    </row>
    <row r="765" spans="1:9" ht="12.3">
      <c r="A765" s="414"/>
      <c r="B765" s="414"/>
      <c r="C765" s="414"/>
      <c r="D765" s="938"/>
      <c r="E765" s="938"/>
      <c r="F765" s="938"/>
      <c r="G765" s="37"/>
      <c r="H765" s="229"/>
      <c r="I765" s="229"/>
    </row>
    <row r="766" spans="1:9" ht="17.25" customHeight="1">
      <c r="A766" s="414"/>
      <c r="B766" s="414"/>
      <c r="C766" s="414"/>
      <c r="D766" s="938"/>
      <c r="E766" s="938"/>
      <c r="F766" s="938"/>
      <c r="G766" s="37"/>
      <c r="H766" s="229"/>
      <c r="I766" s="229"/>
    </row>
    <row r="767" spans="1:9" ht="12.3">
      <c r="A767" s="414"/>
      <c r="B767" s="414"/>
      <c r="C767" s="414"/>
      <c r="D767" s="232"/>
      <c r="E767" s="232"/>
      <c r="F767" s="232"/>
      <c r="G767" s="37"/>
      <c r="H767" s="229"/>
      <c r="I767" s="229"/>
    </row>
    <row r="768" spans="1:9" ht="12.75" customHeight="1">
      <c r="A768" s="414"/>
      <c r="B768" s="529" t="s">
        <v>325</v>
      </c>
      <c r="C768" s="414"/>
      <c r="D768" s="974" t="s">
        <v>554</v>
      </c>
      <c r="E768" s="974"/>
      <c r="F768" s="974"/>
      <c r="G768" s="37"/>
      <c r="H768" s="229"/>
      <c r="I768" s="229"/>
    </row>
    <row r="769" spans="1:9" ht="12.3">
      <c r="A769" s="414"/>
      <c r="B769" s="414"/>
      <c r="C769" s="414"/>
      <c r="D769" s="974"/>
      <c r="E769" s="974"/>
      <c r="F769" s="974"/>
      <c r="G769" s="37"/>
      <c r="H769" s="229"/>
      <c r="I769" s="229"/>
    </row>
    <row r="770" spans="1:9" ht="12.3">
      <c r="A770" s="414"/>
      <c r="B770" s="414"/>
      <c r="C770" s="414"/>
      <c r="D770" s="974"/>
      <c r="E770" s="974"/>
      <c r="F770" s="974"/>
      <c r="G770" s="37"/>
      <c r="H770" s="229"/>
      <c r="I770" s="229"/>
    </row>
    <row r="771" spans="1:9" ht="12.3">
      <c r="A771" s="414"/>
      <c r="B771" s="414"/>
      <c r="C771" s="414"/>
      <c r="D771" s="974"/>
      <c r="E771" s="974"/>
      <c r="F771" s="974"/>
      <c r="G771" s="37"/>
      <c r="H771" s="229"/>
      <c r="I771" s="229"/>
    </row>
    <row r="772" spans="1:9" ht="12.3">
      <c r="A772" s="414"/>
      <c r="B772" s="414"/>
      <c r="C772" s="414"/>
      <c r="D772" s="232"/>
      <c r="E772" s="37"/>
      <c r="F772" s="37"/>
      <c r="G772" s="37"/>
      <c r="H772" s="229"/>
      <c r="I772" s="229"/>
    </row>
    <row r="773" spans="1:9" ht="12.3">
      <c r="A773" s="414"/>
      <c r="B773" s="529" t="s">
        <v>325</v>
      </c>
      <c r="C773" s="365"/>
      <c r="D773" s="972" t="s">
        <v>555</v>
      </c>
      <c r="E773" s="972"/>
      <c r="F773" s="972"/>
      <c r="G773" s="302"/>
      <c r="H773" s="229"/>
      <c r="I773" s="229"/>
    </row>
    <row r="774" spans="1:9" ht="12.3">
      <c r="A774" s="365"/>
      <c r="B774" s="365"/>
      <c r="C774" s="365"/>
      <c r="D774" s="972"/>
      <c r="E774" s="972"/>
      <c r="F774" s="972"/>
      <c r="G774" s="302"/>
      <c r="H774" s="229"/>
      <c r="I774" s="229"/>
    </row>
    <row r="775" spans="1:9" ht="12.3">
      <c r="A775" s="365"/>
      <c r="B775" s="365"/>
      <c r="C775" s="365"/>
      <c r="D775" s="972"/>
      <c r="E775" s="972"/>
      <c r="F775" s="972"/>
      <c r="G775" s="302"/>
      <c r="H775" s="229"/>
      <c r="I775" s="229"/>
    </row>
    <row r="776" spans="1:9" ht="12.3">
      <c r="A776" s="414"/>
      <c r="B776" s="414"/>
      <c r="C776" s="414"/>
      <c r="D776" s="232"/>
      <c r="E776" s="232"/>
      <c r="F776" s="232"/>
      <c r="G776" s="37"/>
      <c r="H776" s="229"/>
      <c r="I776" s="229"/>
    </row>
    <row r="777" spans="1:9" ht="12.3">
      <c r="A777" s="414"/>
      <c r="B777" s="529" t="s">
        <v>325</v>
      </c>
      <c r="C777" s="414"/>
      <c r="D777" s="938" t="s">
        <v>556</v>
      </c>
      <c r="E777" s="938"/>
      <c r="F777" s="938"/>
      <c r="G777" s="37"/>
      <c r="H777" s="229"/>
      <c r="I777" s="229"/>
    </row>
    <row r="778" spans="1:9" ht="12.3">
      <c r="A778" s="414"/>
      <c r="B778" s="414"/>
      <c r="C778" s="414"/>
      <c r="D778" s="938"/>
      <c r="E778" s="938"/>
      <c r="F778" s="938"/>
      <c r="G778" s="37"/>
      <c r="H778" s="229"/>
      <c r="I778" s="229"/>
    </row>
    <row r="779" spans="1:9" ht="12.3">
      <c r="A779" s="414"/>
      <c r="B779" s="414"/>
      <c r="C779" s="414"/>
      <c r="D779" s="178"/>
      <c r="E779" s="178"/>
      <c r="F779" s="178"/>
      <c r="G779" s="37"/>
      <c r="H779" s="229"/>
      <c r="I779" s="229"/>
    </row>
    <row r="780" spans="1:9" ht="14.1" customHeight="1">
      <c r="A780" s="414"/>
      <c r="B780" s="529" t="s">
        <v>325</v>
      </c>
      <c r="C780" s="414"/>
      <c r="D780" s="938" t="s">
        <v>557</v>
      </c>
      <c r="E780" s="938"/>
      <c r="F780" s="938"/>
      <c r="G780" s="37"/>
      <c r="H780" s="229"/>
      <c r="I780" s="229"/>
    </row>
    <row r="781" spans="1:9" ht="12.3">
      <c r="A781" s="414"/>
      <c r="B781" s="414"/>
      <c r="C781" s="414"/>
      <c r="D781" s="938"/>
      <c r="E781" s="938"/>
      <c r="F781" s="938"/>
      <c r="G781" s="37"/>
      <c r="H781" s="229"/>
      <c r="I781" s="229"/>
    </row>
    <row r="782" spans="1:9" ht="12.3">
      <c r="A782" s="414"/>
      <c r="B782" s="414"/>
      <c r="C782" s="414"/>
      <c r="D782" s="938"/>
      <c r="E782" s="938"/>
      <c r="F782" s="938"/>
      <c r="G782" s="37"/>
      <c r="H782" s="229"/>
      <c r="I782" s="229"/>
    </row>
    <row r="783" spans="1:9" ht="12.3">
      <c r="A783" s="414"/>
      <c r="B783" s="414"/>
      <c r="C783" s="414"/>
      <c r="D783" s="178"/>
      <c r="E783" s="178"/>
      <c r="F783" s="178"/>
      <c r="G783" s="37"/>
      <c r="H783" s="229"/>
      <c r="I783" s="229"/>
    </row>
    <row r="784" spans="1:9" ht="12" customHeight="1">
      <c r="A784" s="984" t="s">
        <v>558</v>
      </c>
      <c r="B784" s="984"/>
      <c r="C784" s="984"/>
      <c r="D784" s="984"/>
      <c r="E784" s="984"/>
      <c r="F784" s="984"/>
      <c r="G784" s="984"/>
      <c r="H784" s="229"/>
      <c r="I784" s="229"/>
    </row>
    <row r="785" spans="1:9" ht="12.3">
      <c r="A785" s="56"/>
      <c r="B785" s="56"/>
      <c r="C785" s="414"/>
      <c r="D785" s="37"/>
      <c r="E785" s="37"/>
      <c r="F785" s="37"/>
      <c r="G785" s="37"/>
      <c r="H785" s="229"/>
      <c r="I785" s="229"/>
    </row>
    <row r="786" spans="1:9" ht="14.1" customHeight="1">
      <c r="A786" s="56"/>
      <c r="B786" s="56"/>
      <c r="C786" s="414"/>
      <c r="D786" s="1008" t="s">
        <v>559</v>
      </c>
      <c r="E786" s="1008"/>
      <c r="F786" s="1008"/>
      <c r="G786" s="37"/>
      <c r="H786" s="229"/>
      <c r="I786" s="229"/>
    </row>
    <row r="787" spans="1:9" ht="12.3">
      <c r="A787" s="56"/>
      <c r="B787" s="56"/>
      <c r="C787" s="414"/>
      <c r="D787" s="969" t="s">
        <v>560</v>
      </c>
      <c r="E787" s="969"/>
      <c r="F787" s="969"/>
      <c r="G787" s="37"/>
      <c r="H787" s="229"/>
      <c r="I787" s="229"/>
    </row>
    <row r="788" spans="1:9" ht="12.3">
      <c r="A788" s="56"/>
      <c r="B788" s="56"/>
      <c r="C788" s="414"/>
      <c r="D788" s="351"/>
      <c r="E788" s="351"/>
      <c r="F788" s="351"/>
      <c r="G788" s="37"/>
      <c r="H788" s="229"/>
      <c r="I788" s="229"/>
    </row>
    <row r="789" spans="1:9" ht="12.3">
      <c r="A789" s="56"/>
      <c r="B789" s="529" t="s">
        <v>323</v>
      </c>
      <c r="C789" s="414"/>
      <c r="D789" s="972" t="s">
        <v>561</v>
      </c>
      <c r="E789" s="972"/>
      <c r="F789" s="972"/>
      <c r="G789" s="37"/>
      <c r="H789" s="229"/>
      <c r="I789" s="229"/>
    </row>
    <row r="790" spans="1:9" ht="12.3">
      <c r="A790" s="56"/>
      <c r="B790" s="56"/>
      <c r="C790" s="414"/>
      <c r="D790" s="972"/>
      <c r="E790" s="972"/>
      <c r="F790" s="972"/>
      <c r="G790" s="37"/>
      <c r="H790" s="229"/>
      <c r="I790" s="229"/>
    </row>
    <row r="791" spans="1:9" ht="12.3">
      <c r="A791" s="168"/>
      <c r="B791" s="168"/>
      <c r="C791" s="168"/>
      <c r="D791" s="972"/>
      <c r="E791" s="972"/>
      <c r="F791" s="972"/>
      <c r="G791" s="232"/>
      <c r="H791" s="229"/>
      <c r="I791" s="229"/>
    </row>
    <row r="792" spans="1:9" ht="12.3">
      <c r="A792" s="414"/>
      <c r="B792" s="414"/>
      <c r="C792" s="414"/>
      <c r="D792" s="169"/>
      <c r="E792" s="37"/>
      <c r="F792" s="37"/>
      <c r="G792" s="37"/>
      <c r="H792" s="229"/>
      <c r="I792" s="229"/>
    </row>
    <row r="793" spans="1:9" ht="12.3">
      <c r="A793" s="167"/>
      <c r="B793" s="529" t="s">
        <v>325</v>
      </c>
      <c r="C793" s="167"/>
      <c r="D793" s="972" t="s">
        <v>562</v>
      </c>
      <c r="E793" s="972"/>
      <c r="F793" s="972"/>
      <c r="G793" s="37"/>
      <c r="H793" s="229"/>
      <c r="I793" s="229"/>
    </row>
    <row r="794" spans="1:9" ht="12.3">
      <c r="A794" s="167"/>
      <c r="B794" s="167"/>
      <c r="C794" s="167"/>
      <c r="D794" s="972"/>
      <c r="E794" s="972"/>
      <c r="F794" s="972"/>
      <c r="G794" s="37"/>
      <c r="H794" s="229"/>
      <c r="I794" s="229"/>
    </row>
    <row r="795" spans="1:9" ht="27.75" customHeight="1">
      <c r="A795" s="167"/>
      <c r="B795" s="167"/>
      <c r="C795" s="167"/>
      <c r="D795" s="972"/>
      <c r="E795" s="972"/>
      <c r="F795" s="972"/>
      <c r="G795" s="37"/>
      <c r="H795" s="229"/>
      <c r="I795" s="229"/>
    </row>
    <row r="796" spans="1:9" ht="12.3">
      <c r="A796" s="168"/>
      <c r="B796" s="168"/>
      <c r="C796" s="168"/>
      <c r="D796" s="37"/>
      <c r="E796" s="869"/>
      <c r="F796" s="869"/>
      <c r="G796" s="869"/>
      <c r="H796" s="229"/>
      <c r="I796" s="229"/>
    </row>
    <row r="797" spans="1:9" ht="14.85" customHeight="1">
      <c r="A797" s="233"/>
      <c r="B797" s="529" t="s">
        <v>325</v>
      </c>
      <c r="C797" s="868"/>
      <c r="D797" s="972" t="s">
        <v>563</v>
      </c>
      <c r="E797" s="972"/>
      <c r="F797" s="972"/>
      <c r="G797" s="869"/>
      <c r="H797" s="229"/>
      <c r="I797" s="229"/>
    </row>
    <row r="798" spans="1:9" ht="12.3">
      <c r="A798" s="233"/>
      <c r="B798" s="233"/>
      <c r="C798" s="868"/>
      <c r="D798" s="972"/>
      <c r="E798" s="972"/>
      <c r="F798" s="972"/>
      <c r="G798" s="869"/>
      <c r="H798" s="229"/>
      <c r="I798" s="229"/>
    </row>
    <row r="799" spans="1:9" ht="12.3">
      <c r="A799" s="233"/>
      <c r="B799" s="233"/>
      <c r="C799" s="868"/>
      <c r="D799" s="972"/>
      <c r="E799" s="972"/>
      <c r="F799" s="972"/>
      <c r="G799" s="869"/>
      <c r="H799" s="229"/>
      <c r="I799" s="229"/>
    </row>
    <row r="800" spans="1:9" ht="12.3">
      <c r="A800" s="233"/>
      <c r="B800" s="233"/>
      <c r="C800" s="868"/>
      <c r="D800" s="232"/>
      <c r="E800" s="37"/>
      <c r="F800" s="37"/>
      <c r="G800" s="869"/>
      <c r="H800" s="229"/>
      <c r="I800" s="229"/>
    </row>
    <row r="801" spans="1:9" ht="14.25" customHeight="1">
      <c r="A801" s="233"/>
      <c r="B801" s="529" t="s">
        <v>325</v>
      </c>
      <c r="C801" s="868"/>
      <c r="D801" s="972" t="s">
        <v>564</v>
      </c>
      <c r="E801" s="972"/>
      <c r="F801" s="972"/>
      <c r="G801" s="869"/>
      <c r="H801" s="229"/>
      <c r="I801" s="229"/>
    </row>
    <row r="802" spans="1:9" ht="12.3">
      <c r="A802" s="233"/>
      <c r="B802" s="233"/>
      <c r="C802" s="868"/>
      <c r="D802" s="972"/>
      <c r="E802" s="972"/>
      <c r="F802" s="972"/>
      <c r="G802" s="869"/>
      <c r="H802" s="229"/>
      <c r="I802" s="229"/>
    </row>
    <row r="803" spans="1:9" ht="12.3">
      <c r="A803" s="233"/>
      <c r="B803" s="233"/>
      <c r="C803" s="868"/>
      <c r="D803" s="972"/>
      <c r="E803" s="972"/>
      <c r="F803" s="972"/>
      <c r="G803" s="869"/>
      <c r="H803" s="229"/>
      <c r="I803" s="229"/>
    </row>
    <row r="804" spans="1:9" ht="12.3">
      <c r="A804" s="233"/>
      <c r="B804" s="233"/>
      <c r="C804" s="868"/>
      <c r="D804" s="972"/>
      <c r="E804" s="972"/>
      <c r="F804" s="972"/>
      <c r="G804" s="869"/>
      <c r="H804" s="229"/>
      <c r="I804" s="229"/>
    </row>
    <row r="805" spans="1:9" ht="12.3">
      <c r="A805" s="233"/>
      <c r="B805" s="233"/>
      <c r="C805" s="868"/>
      <c r="D805" s="972"/>
      <c r="E805" s="972"/>
      <c r="F805" s="972"/>
      <c r="G805" s="869"/>
      <c r="H805" s="229"/>
      <c r="I805" s="229"/>
    </row>
    <row r="806" spans="1:9" ht="12.3">
      <c r="A806" s="233"/>
      <c r="B806" s="233"/>
      <c r="C806" s="868"/>
      <c r="D806" s="972" t="s">
        <v>565</v>
      </c>
      <c r="E806" s="972"/>
      <c r="F806" s="972"/>
      <c r="G806" s="869"/>
      <c r="H806" s="229"/>
      <c r="I806" s="229"/>
    </row>
    <row r="807" spans="1:9" ht="12.3">
      <c r="A807" s="233"/>
      <c r="B807" s="233"/>
      <c r="C807" s="868"/>
      <c r="D807" s="972"/>
      <c r="E807" s="972"/>
      <c r="F807" s="972"/>
      <c r="G807" s="869"/>
      <c r="H807" s="229"/>
      <c r="I807" s="229"/>
    </row>
    <row r="808" spans="1:9" ht="12.3">
      <c r="A808" s="233"/>
      <c r="B808" s="233"/>
      <c r="C808" s="868"/>
      <c r="D808" s="972"/>
      <c r="E808" s="972"/>
      <c r="F808" s="972"/>
      <c r="G808" s="869"/>
      <c r="H808" s="229"/>
      <c r="I808" s="229"/>
    </row>
    <row r="809" spans="1:9" ht="12.3">
      <c r="A809" s="233"/>
      <c r="B809" s="414"/>
      <c r="C809" s="868"/>
      <c r="D809" s="870"/>
      <c r="E809" s="870"/>
      <c r="F809" s="870"/>
      <c r="G809" s="869"/>
      <c r="H809" s="229"/>
      <c r="I809" s="229"/>
    </row>
    <row r="810" spans="1:9" ht="12.3">
      <c r="A810" s="233"/>
      <c r="B810" s="529" t="s">
        <v>325</v>
      </c>
      <c r="C810" s="868"/>
      <c r="D810" s="972" t="s">
        <v>566</v>
      </c>
      <c r="E810" s="972"/>
      <c r="F810" s="972"/>
      <c r="G810" s="869"/>
      <c r="H810" s="229"/>
      <c r="I810" s="229"/>
    </row>
    <row r="811" spans="1:9" ht="12.3">
      <c r="A811" s="233"/>
      <c r="B811" s="233"/>
      <c r="C811" s="868"/>
      <c r="D811" s="972"/>
      <c r="E811" s="972"/>
      <c r="F811" s="972"/>
      <c r="G811" s="869"/>
      <c r="H811" s="229"/>
      <c r="I811" s="229"/>
    </row>
    <row r="812" spans="1:9" ht="12.3">
      <c r="A812" s="233"/>
      <c r="B812" s="233"/>
      <c r="C812" s="868"/>
      <c r="D812" s="972"/>
      <c r="E812" s="972"/>
      <c r="F812" s="972"/>
      <c r="G812" s="869"/>
      <c r="H812" s="229"/>
      <c r="I812" s="229"/>
    </row>
    <row r="813" spans="1:9" ht="12.3">
      <c r="A813" s="233"/>
      <c r="B813" s="233"/>
      <c r="C813" s="868"/>
      <c r="D813" s="972"/>
      <c r="E813" s="972"/>
      <c r="F813" s="972"/>
      <c r="G813" s="869"/>
      <c r="H813" s="229"/>
      <c r="I813" s="229"/>
    </row>
    <row r="814" spans="1:9" ht="12.3">
      <c r="A814" s="233"/>
      <c r="B814" s="233"/>
      <c r="C814" s="868"/>
      <c r="D814" s="972"/>
      <c r="E814" s="972"/>
      <c r="F814" s="972"/>
      <c r="G814" s="869"/>
      <c r="H814" s="229"/>
      <c r="I814" s="229"/>
    </row>
    <row r="815" spans="1:9" ht="12.3">
      <c r="A815" s="233"/>
      <c r="B815" s="233"/>
      <c r="C815" s="868"/>
      <c r="D815" s="972"/>
      <c r="E815" s="972"/>
      <c r="F815" s="972"/>
      <c r="G815" s="869"/>
      <c r="H815" s="229"/>
      <c r="I815" s="229"/>
    </row>
    <row r="816" spans="1:9" ht="12.3">
      <c r="A816" s="233"/>
      <c r="B816" s="233"/>
      <c r="C816" s="868"/>
      <c r="D816" s="859"/>
      <c r="E816" s="859"/>
      <c r="F816" s="859"/>
      <c r="G816" s="869"/>
      <c r="H816" s="229"/>
      <c r="I816" s="229"/>
    </row>
    <row r="817" spans="1:9" ht="12.3">
      <c r="A817" s="233"/>
      <c r="B817" s="529" t="s">
        <v>323</v>
      </c>
      <c r="C817" s="868"/>
      <c r="D817" s="972" t="s">
        <v>567</v>
      </c>
      <c r="E817" s="972"/>
      <c r="F817" s="972"/>
      <c r="G817" s="869"/>
      <c r="H817" s="229"/>
      <c r="I817" s="229"/>
    </row>
    <row r="818" spans="1:9" ht="12.3">
      <c r="A818" s="233"/>
      <c r="B818" s="233"/>
      <c r="C818" s="868"/>
      <c r="D818" s="972"/>
      <c r="E818" s="972"/>
      <c r="F818" s="972"/>
      <c r="G818" s="869"/>
      <c r="H818" s="229"/>
      <c r="I818" s="229"/>
    </row>
    <row r="819" spans="1:9" ht="12.3">
      <c r="A819" s="233"/>
      <c r="B819" s="233"/>
      <c r="C819" s="868"/>
      <c r="D819" s="972"/>
      <c r="E819" s="972"/>
      <c r="F819" s="972"/>
      <c r="G819" s="869"/>
      <c r="H819" s="229"/>
      <c r="I819" s="229"/>
    </row>
    <row r="820" spans="1:9" ht="12.3">
      <c r="A820" s="233"/>
      <c r="B820" s="233"/>
      <c r="C820" s="868"/>
      <c r="D820" s="972"/>
      <c r="E820" s="972"/>
      <c r="F820" s="972"/>
      <c r="G820" s="869"/>
      <c r="H820" s="229"/>
      <c r="I820" s="229"/>
    </row>
    <row r="821" spans="1:9" ht="12.3">
      <c r="A821" s="233"/>
      <c r="B821" s="233"/>
      <c r="C821" s="868"/>
      <c r="D821" s="972"/>
      <c r="E821" s="972"/>
      <c r="F821" s="972"/>
      <c r="G821" s="869"/>
      <c r="H821" s="229"/>
      <c r="I821" s="229"/>
    </row>
    <row r="822" spans="1:9" ht="12.3">
      <c r="A822" s="233"/>
      <c r="B822" s="233"/>
      <c r="C822" s="868"/>
      <c r="D822" s="859"/>
      <c r="E822" s="859"/>
      <c r="F822" s="859"/>
      <c r="G822" s="869"/>
      <c r="H822" s="229"/>
      <c r="I822" s="229"/>
    </row>
    <row r="823" spans="1:9" ht="12.3">
      <c r="A823" s="233"/>
      <c r="B823" s="529" t="s">
        <v>325</v>
      </c>
      <c r="C823" s="868"/>
      <c r="D823" s="972" t="s">
        <v>568</v>
      </c>
      <c r="E823" s="972"/>
      <c r="F823" s="972"/>
      <c r="G823" s="869"/>
      <c r="H823" s="229"/>
      <c r="I823" s="229"/>
    </row>
    <row r="824" spans="1:9" ht="12.3">
      <c r="A824" s="233"/>
      <c r="B824" s="233"/>
      <c r="C824" s="868"/>
      <c r="D824" s="972"/>
      <c r="E824" s="972"/>
      <c r="F824" s="972"/>
      <c r="G824" s="869"/>
      <c r="H824" s="229"/>
      <c r="I824" s="229"/>
    </row>
    <row r="825" spans="1:9" ht="12.3">
      <c r="A825" s="233"/>
      <c r="B825" s="233"/>
      <c r="C825" s="868"/>
      <c r="D825" s="972"/>
      <c r="E825" s="972"/>
      <c r="F825" s="972"/>
      <c r="G825" s="869"/>
      <c r="H825" s="229"/>
      <c r="I825" s="229"/>
    </row>
    <row r="826" spans="1:9" ht="12.3">
      <c r="A826" s="233"/>
      <c r="B826" s="233"/>
      <c r="C826" s="868"/>
      <c r="D826" s="972"/>
      <c r="E826" s="972"/>
      <c r="F826" s="972"/>
      <c r="G826" s="869"/>
      <c r="H826" s="229"/>
      <c r="I826" s="229"/>
    </row>
    <row r="827" spans="1:9" ht="12.3">
      <c r="A827" s="233"/>
      <c r="B827" s="233"/>
      <c r="C827" s="868"/>
      <c r="D827" s="869"/>
      <c r="E827" s="37"/>
      <c r="F827" s="37"/>
      <c r="G827" s="869"/>
      <c r="H827" s="229"/>
      <c r="I827" s="229"/>
    </row>
    <row r="828" spans="1:9" ht="12.3">
      <c r="A828" s="233"/>
      <c r="B828" s="529" t="s">
        <v>325</v>
      </c>
      <c r="C828" s="868"/>
      <c r="D828" s="991" t="s">
        <v>569</v>
      </c>
      <c r="E828" s="991"/>
      <c r="F828" s="991"/>
      <c r="G828" s="869"/>
      <c r="H828" s="229"/>
      <c r="I828" s="229"/>
    </row>
    <row r="829" spans="1:9" ht="12.3">
      <c r="A829" s="233"/>
      <c r="B829" s="233"/>
      <c r="C829" s="868"/>
      <c r="D829" s="991"/>
      <c r="E829" s="991"/>
      <c r="F829" s="991"/>
      <c r="G829" s="869"/>
      <c r="H829" s="229"/>
      <c r="I829" s="229"/>
    </row>
    <row r="830" spans="1:9" ht="12.3">
      <c r="A830" s="18"/>
      <c r="B830" s="18"/>
      <c r="C830" s="868"/>
      <c r="D830" s="991"/>
      <c r="E830" s="991"/>
      <c r="F830" s="991"/>
      <c r="G830" s="869"/>
      <c r="H830" s="229"/>
      <c r="I830" s="229"/>
    </row>
    <row r="831" spans="1:9" ht="12.3">
      <c r="A831" s="233"/>
      <c r="B831" s="18"/>
      <c r="C831" s="868"/>
      <c r="D831" s="991"/>
      <c r="E831" s="991"/>
      <c r="F831" s="991"/>
      <c r="G831" s="869"/>
      <c r="H831" s="229"/>
      <c r="I831" s="229"/>
    </row>
    <row r="832" spans="1:9" ht="12.3">
      <c r="A832" s="233"/>
      <c r="B832" s="18"/>
      <c r="C832" s="868"/>
      <c r="D832" s="991"/>
      <c r="E832" s="991"/>
      <c r="F832" s="991"/>
      <c r="G832" s="869"/>
      <c r="H832" s="229"/>
      <c r="I832" s="229"/>
    </row>
    <row r="833" spans="1:9" ht="12.3">
      <c r="A833" s="233"/>
      <c r="B833" s="18"/>
      <c r="C833" s="868"/>
      <c r="D833" s="991"/>
      <c r="E833" s="991"/>
      <c r="F833" s="991"/>
      <c r="G833" s="869"/>
      <c r="H833" s="229"/>
      <c r="I833" s="229"/>
    </row>
    <row r="834" spans="1:9" ht="12.3">
      <c r="A834" s="233"/>
      <c r="B834" s="18"/>
      <c r="C834" s="868"/>
      <c r="D834" s="857"/>
      <c r="E834" s="857"/>
      <c r="F834" s="857"/>
      <c r="G834" s="869"/>
      <c r="H834" s="229"/>
      <c r="I834" s="229"/>
    </row>
    <row r="835" spans="1:9" ht="12.3">
      <c r="A835" s="233"/>
      <c r="B835" s="529" t="s">
        <v>325</v>
      </c>
      <c r="C835" s="868"/>
      <c r="D835" s="972" t="s">
        <v>570</v>
      </c>
      <c r="E835" s="972"/>
      <c r="F835" s="972"/>
      <c r="G835" s="869"/>
      <c r="H835" s="229"/>
      <c r="I835" s="229"/>
    </row>
    <row r="836" spans="1:9" ht="12.3">
      <c r="A836" s="233"/>
      <c r="B836" s="233"/>
      <c r="C836" s="868"/>
      <c r="D836" s="972"/>
      <c r="E836" s="972"/>
      <c r="F836" s="972"/>
      <c r="G836" s="869"/>
      <c r="H836" s="229"/>
      <c r="I836" s="229"/>
    </row>
    <row r="837" spans="1:9" ht="12.3">
      <c r="A837" s="233"/>
      <c r="B837" s="233"/>
      <c r="C837" s="868"/>
      <c r="D837" s="869"/>
      <c r="E837" s="37"/>
      <c r="F837" s="37"/>
      <c r="G837" s="869"/>
      <c r="H837" s="229"/>
      <c r="I837" s="229"/>
    </row>
    <row r="838" spans="1:9" ht="12.3">
      <c r="A838" s="233"/>
      <c r="B838" s="529" t="s">
        <v>325</v>
      </c>
      <c r="C838" s="868"/>
      <c r="D838" s="991" t="s">
        <v>571</v>
      </c>
      <c r="E838" s="991"/>
      <c r="F838" s="991"/>
      <c r="G838" s="869"/>
      <c r="H838" s="229"/>
      <c r="I838" s="229"/>
    </row>
    <row r="839" spans="1:9" ht="12.3">
      <c r="A839" s="233"/>
      <c r="B839" s="233"/>
      <c r="C839" s="868"/>
      <c r="D839" s="991"/>
      <c r="E839" s="991"/>
      <c r="F839" s="991"/>
      <c r="G839" s="869"/>
      <c r="H839" s="229"/>
      <c r="I839" s="229"/>
    </row>
    <row r="840" spans="1:9" ht="12.3">
      <c r="A840" s="18"/>
      <c r="B840" s="18"/>
      <c r="C840" s="868"/>
      <c r="D840" s="869"/>
      <c r="E840" s="37"/>
      <c r="F840" s="37"/>
      <c r="G840" s="869"/>
      <c r="H840" s="229"/>
      <c r="I840" s="229"/>
    </row>
    <row r="841" spans="1:9" ht="12.3">
      <c r="A841" s="964" t="s">
        <v>572</v>
      </c>
      <c r="B841" s="964"/>
      <c r="C841" s="964"/>
      <c r="D841" s="964"/>
      <c r="E841" s="964"/>
      <c r="F841" s="964"/>
      <c r="G841" s="964"/>
      <c r="H841" s="229"/>
      <c r="I841" s="229"/>
    </row>
    <row r="842" spans="1:9" ht="12.3">
      <c r="A842" s="167"/>
      <c r="B842" s="167"/>
      <c r="C842" s="868"/>
      <c r="D842" s="869"/>
      <c r="E842" s="869"/>
      <c r="F842" s="869"/>
      <c r="G842" s="869"/>
      <c r="H842" s="229"/>
      <c r="I842" s="229"/>
    </row>
    <row r="843" spans="1:9" ht="12.3">
      <c r="A843" s="233"/>
      <c r="B843" s="233"/>
      <c r="C843" s="414"/>
      <c r="D843" s="966" t="s">
        <v>573</v>
      </c>
      <c r="E843" s="966"/>
      <c r="F843" s="966"/>
      <c r="G843" s="37"/>
      <c r="H843" s="229"/>
      <c r="I843" s="229"/>
    </row>
    <row r="844" spans="1:9" ht="12.3">
      <c r="A844" s="233"/>
      <c r="B844" s="233"/>
      <c r="C844" s="414"/>
      <c r="D844" s="938" t="s">
        <v>574</v>
      </c>
      <c r="E844" s="938"/>
      <c r="F844" s="938"/>
      <c r="G844" s="37"/>
      <c r="H844" s="229"/>
      <c r="I844" s="229"/>
    </row>
    <row r="845" spans="1:9" ht="12.3">
      <c r="A845" s="233"/>
      <c r="B845" s="233"/>
      <c r="C845" s="414"/>
      <c r="D845" s="178"/>
      <c r="E845" s="178"/>
      <c r="F845" s="178"/>
      <c r="G845" s="37"/>
      <c r="H845" s="229"/>
      <c r="I845" s="229"/>
    </row>
    <row r="846" spans="1:9" ht="12.3">
      <c r="A846" s="414"/>
      <c r="B846" s="529" t="s">
        <v>323</v>
      </c>
      <c r="C846" s="868"/>
      <c r="D846" s="938" t="s">
        <v>575</v>
      </c>
      <c r="E846" s="938"/>
      <c r="F846" s="938"/>
      <c r="G846" s="37"/>
      <c r="H846" s="229"/>
      <c r="I846" s="229"/>
    </row>
    <row r="847" spans="1:9" ht="12.3">
      <c r="A847" s="18"/>
      <c r="B847" s="18"/>
      <c r="C847" s="868"/>
      <c r="D847" s="3" t="s">
        <v>384</v>
      </c>
      <c r="E847" s="943" t="s">
        <v>408</v>
      </c>
      <c r="F847" s="943"/>
      <c r="G847" s="37"/>
      <c r="H847" s="229"/>
      <c r="I847" s="229"/>
    </row>
    <row r="848" spans="1:9" ht="12.3">
      <c r="A848" s="18"/>
      <c r="B848" s="18"/>
      <c r="C848" s="868"/>
      <c r="D848" s="871"/>
      <c r="E848" s="37"/>
      <c r="F848" s="37"/>
      <c r="G848" s="37"/>
      <c r="H848" s="229"/>
      <c r="I848" s="229"/>
    </row>
    <row r="849" spans="1:9" ht="12.3">
      <c r="A849" s="18"/>
      <c r="B849" s="529" t="s">
        <v>325</v>
      </c>
      <c r="C849" s="868"/>
      <c r="D849" s="999" t="s">
        <v>576</v>
      </c>
      <c r="E849" s="999"/>
      <c r="F849" s="999"/>
      <c r="G849" s="37"/>
      <c r="H849" s="229"/>
      <c r="I849" s="229"/>
    </row>
    <row r="850" spans="1:9" ht="12.3">
      <c r="A850" s="18"/>
      <c r="B850" s="18"/>
      <c r="C850" s="868"/>
      <c r="D850" s="999"/>
      <c r="E850" s="999"/>
      <c r="F850" s="999"/>
      <c r="G850" s="37"/>
      <c r="H850" s="229"/>
      <c r="I850" s="229"/>
    </row>
    <row r="851" spans="1:9" ht="12.3">
      <c r="A851" s="18"/>
      <c r="B851" s="18"/>
      <c r="C851" s="868"/>
      <c r="D851" s="999"/>
      <c r="E851" s="999"/>
      <c r="F851" s="999"/>
      <c r="G851" s="37"/>
      <c r="H851" s="229"/>
      <c r="I851" s="229"/>
    </row>
    <row r="852" spans="1:9" ht="12.3">
      <c r="A852" s="18"/>
      <c r="B852" s="18"/>
      <c r="C852" s="868"/>
      <c r="D852" s="999"/>
      <c r="E852" s="999"/>
      <c r="F852" s="999"/>
      <c r="G852" s="37"/>
      <c r="H852" s="229"/>
      <c r="I852" s="229"/>
    </row>
    <row r="853" spans="1:9" ht="12.3">
      <c r="A853" s="18"/>
      <c r="B853" s="18"/>
      <c r="C853" s="868"/>
      <c r="D853" s="999"/>
      <c r="E853" s="999"/>
      <c r="F853" s="999"/>
      <c r="G853" s="37"/>
      <c r="H853" s="229"/>
      <c r="I853" s="229"/>
    </row>
    <row r="854" spans="1:9" ht="12.3">
      <c r="A854" s="18"/>
      <c r="B854" s="18"/>
      <c r="C854" s="868"/>
      <c r="D854" s="999"/>
      <c r="E854" s="999"/>
      <c r="F854" s="999"/>
      <c r="G854" s="37"/>
      <c r="H854" s="229"/>
      <c r="I854" s="229"/>
    </row>
    <row r="855" spans="1:9" ht="12.3">
      <c r="A855" s="18"/>
      <c r="B855" s="18"/>
      <c r="C855" s="868"/>
      <c r="D855" s="999"/>
      <c r="E855" s="999"/>
      <c r="F855" s="999"/>
      <c r="G855" s="37"/>
      <c r="H855" s="229"/>
      <c r="I855" s="229"/>
    </row>
    <row r="856" spans="1:9" ht="12.3">
      <c r="A856" s="18"/>
      <c r="B856" s="18"/>
      <c r="C856" s="868"/>
      <c r="D856" s="999"/>
      <c r="E856" s="999"/>
      <c r="F856" s="999"/>
      <c r="G856" s="37"/>
      <c r="H856" s="229"/>
      <c r="I856" s="229"/>
    </row>
    <row r="857" spans="1:9" ht="12.3">
      <c r="A857" s="18"/>
      <c r="B857" s="18"/>
      <c r="C857" s="868"/>
      <c r="D857" s="999"/>
      <c r="E857" s="999"/>
      <c r="F857" s="999"/>
      <c r="G857" s="37"/>
      <c r="H857" s="229"/>
      <c r="I857" s="229"/>
    </row>
    <row r="858" spans="1:9" ht="12.3">
      <c r="A858" s="18"/>
      <c r="B858" s="18"/>
      <c r="C858" s="868"/>
      <c r="D858" s="871"/>
      <c r="E858" s="37"/>
      <c r="F858" s="37"/>
      <c r="G858" s="37"/>
      <c r="H858" s="229"/>
      <c r="I858" s="229"/>
    </row>
    <row r="859" spans="1:9" ht="12.3">
      <c r="A859" s="233"/>
      <c r="B859" s="529" t="s">
        <v>323</v>
      </c>
      <c r="C859" s="868"/>
      <c r="D859" s="938" t="s">
        <v>577</v>
      </c>
      <c r="E859" s="938"/>
      <c r="F859" s="938"/>
      <c r="G859" s="37"/>
      <c r="H859" s="229"/>
      <c r="I859" s="229"/>
    </row>
    <row r="860" spans="1:9" ht="12.3">
      <c r="A860" s="233"/>
      <c r="B860" s="233"/>
      <c r="C860" s="868"/>
      <c r="D860" s="938"/>
      <c r="E860" s="938"/>
      <c r="F860" s="938"/>
      <c r="G860" s="37"/>
      <c r="H860" s="229"/>
      <c r="I860" s="229"/>
    </row>
    <row r="861" spans="1:9" ht="12.3">
      <c r="A861" s="233"/>
      <c r="B861" s="233"/>
      <c r="C861" s="868"/>
      <c r="D861" s="938"/>
      <c r="E861" s="938"/>
      <c r="F861" s="938"/>
      <c r="G861" s="37"/>
      <c r="H861" s="229"/>
      <c r="I861" s="229"/>
    </row>
    <row r="862" spans="1:9" ht="12.3">
      <c r="A862" s="233"/>
      <c r="B862" s="233"/>
      <c r="C862" s="868"/>
      <c r="D862" s="232"/>
      <c r="E862" s="37"/>
      <c r="F862" s="37"/>
      <c r="G862" s="37"/>
      <c r="H862" s="229"/>
      <c r="I862" s="229"/>
    </row>
    <row r="863" spans="1:9" ht="12.3">
      <c r="A863" s="350"/>
      <c r="B863" s="529" t="s">
        <v>325</v>
      </c>
      <c r="C863" s="868"/>
      <c r="D863" s="966" t="s">
        <v>578</v>
      </c>
      <c r="E863" s="966"/>
      <c r="F863" s="966"/>
      <c r="G863" s="37"/>
      <c r="H863" s="229"/>
      <c r="I863" s="229"/>
    </row>
    <row r="864" spans="1:9" ht="12.3">
      <c r="A864" s="414"/>
      <c r="B864" s="350"/>
      <c r="C864" s="868"/>
      <c r="D864" s="966"/>
      <c r="E864" s="966"/>
      <c r="F864" s="966"/>
      <c r="G864" s="37"/>
      <c r="H864" s="229"/>
      <c r="I864" s="229"/>
    </row>
    <row r="865" spans="1:9" ht="14.25" customHeight="1">
      <c r="A865" s="233"/>
      <c r="B865" s="414"/>
      <c r="C865" s="868"/>
      <c r="D865" s="938" t="s">
        <v>579</v>
      </c>
      <c r="E865" s="938"/>
      <c r="F865" s="938"/>
      <c r="G865" s="37"/>
      <c r="H865" s="229"/>
      <c r="I865" s="229"/>
    </row>
    <row r="866" spans="1:9" ht="12.3">
      <c r="A866" s="233"/>
      <c r="B866" s="233"/>
      <c r="C866" s="868"/>
      <c r="D866" s="938"/>
      <c r="E866" s="938"/>
      <c r="F866" s="938"/>
      <c r="G866" s="37"/>
      <c r="H866" s="229"/>
      <c r="I866" s="229"/>
    </row>
    <row r="867" spans="1:9" ht="12.3">
      <c r="A867" s="233"/>
      <c r="B867" s="233"/>
      <c r="C867" s="868"/>
      <c r="D867" s="938"/>
      <c r="E867" s="938"/>
      <c r="F867" s="938"/>
      <c r="G867" s="37"/>
      <c r="H867" s="229"/>
      <c r="I867" s="229"/>
    </row>
    <row r="868" spans="1:9" ht="12.3">
      <c r="A868" s="233"/>
      <c r="B868" s="233"/>
      <c r="C868" s="868"/>
      <c r="D868" s="938"/>
      <c r="E868" s="938"/>
      <c r="F868" s="938"/>
      <c r="G868" s="37"/>
      <c r="H868" s="229"/>
      <c r="I868" s="229"/>
    </row>
    <row r="869" spans="1:9" ht="12.3">
      <c r="A869" s="233"/>
      <c r="B869" s="233"/>
      <c r="C869" s="868"/>
      <c r="D869" s="938"/>
      <c r="E869" s="938"/>
      <c r="F869" s="938"/>
      <c r="G869" s="37"/>
      <c r="H869" s="229"/>
      <c r="I869" s="229"/>
    </row>
    <row r="870" spans="1:9" ht="14.25" customHeight="1">
      <c r="A870" s="233"/>
      <c r="B870" s="233"/>
      <c r="C870" s="868"/>
      <c r="D870" s="938"/>
      <c r="E870" s="938"/>
      <c r="F870" s="938"/>
      <c r="G870" s="37"/>
      <c r="H870" s="229"/>
      <c r="I870" s="229"/>
    </row>
    <row r="871" spans="1:9" ht="12.3">
      <c r="A871" s="233"/>
      <c r="B871" s="233"/>
      <c r="C871" s="868"/>
      <c r="D871" s="232"/>
      <c r="E871" s="37"/>
      <c r="F871" s="37"/>
      <c r="G871" s="37"/>
      <c r="H871" s="229"/>
      <c r="I871" s="229"/>
    </row>
    <row r="872" spans="1:9" ht="12.3">
      <c r="A872" s="233"/>
      <c r="B872" s="529" t="s">
        <v>325</v>
      </c>
      <c r="C872" s="868"/>
      <c r="D872" s="938" t="s">
        <v>580</v>
      </c>
      <c r="E872" s="938"/>
      <c r="F872" s="938"/>
      <c r="G872" s="37"/>
      <c r="H872" s="229"/>
      <c r="I872" s="229"/>
    </row>
    <row r="873" spans="1:9" ht="12.3">
      <c r="A873" s="233"/>
      <c r="B873" s="233"/>
      <c r="C873" s="868"/>
      <c r="D873" s="938" t="s">
        <v>581</v>
      </c>
      <c r="E873" s="938"/>
      <c r="F873" s="938"/>
      <c r="G873" s="37"/>
      <c r="H873" s="229"/>
      <c r="I873" s="229"/>
    </row>
    <row r="874" spans="1:9" ht="12.3">
      <c r="A874" s="233"/>
      <c r="B874" s="233"/>
      <c r="C874" s="868"/>
      <c r="D874" s="3" t="s">
        <v>380</v>
      </c>
      <c r="E874" s="943" t="s">
        <v>419</v>
      </c>
      <c r="F874" s="943"/>
      <c r="G874" s="37"/>
      <c r="H874" s="229"/>
      <c r="I874" s="229"/>
    </row>
    <row r="875" spans="1:9" ht="12.3">
      <c r="A875" s="233"/>
      <c r="B875" s="233"/>
      <c r="C875" s="868"/>
      <c r="D875" s="232"/>
      <c r="E875" s="37"/>
      <c r="F875" s="37"/>
      <c r="G875" s="37"/>
      <c r="H875" s="229"/>
      <c r="I875" s="229"/>
    </row>
    <row r="876" spans="1:9" ht="12.3">
      <c r="A876" s="233"/>
      <c r="B876" s="529" t="s">
        <v>325</v>
      </c>
      <c r="C876" s="868"/>
      <c r="D876" s="938" t="s">
        <v>582</v>
      </c>
      <c r="E876" s="938"/>
      <c r="F876" s="938"/>
      <c r="G876" s="37"/>
      <c r="H876" s="229"/>
      <c r="I876" s="229"/>
    </row>
    <row r="877" spans="1:9" ht="12.3">
      <c r="A877" s="233"/>
      <c r="B877" s="233"/>
      <c r="C877" s="868"/>
      <c r="D877" s="938"/>
      <c r="E877" s="938"/>
      <c r="F877" s="938"/>
      <c r="G877" s="37"/>
      <c r="H877" s="229"/>
      <c r="I877" s="229"/>
    </row>
    <row r="878" spans="1:9" ht="12.3">
      <c r="A878" s="233"/>
      <c r="B878" s="233"/>
      <c r="C878" s="868"/>
      <c r="D878" s="938"/>
      <c r="E878" s="938"/>
      <c r="F878" s="938"/>
      <c r="G878" s="37"/>
      <c r="H878" s="229"/>
      <c r="I878" s="229"/>
    </row>
    <row r="879" spans="1:9" ht="12.3">
      <c r="A879" s="233"/>
      <c r="B879" s="233"/>
      <c r="C879" s="868"/>
      <c r="D879" s="938"/>
      <c r="E879" s="938"/>
      <c r="F879" s="938"/>
      <c r="G879" s="37"/>
      <c r="H879" s="229"/>
      <c r="I879" s="229"/>
    </row>
    <row r="880" spans="1:9" ht="12.3">
      <c r="A880" s="167"/>
      <c r="B880" s="167"/>
      <c r="C880" s="167"/>
      <c r="D880" s="232"/>
      <c r="E880" s="37"/>
      <c r="F880" s="37"/>
      <c r="G880" s="37"/>
      <c r="H880" s="229"/>
      <c r="I880" s="229"/>
    </row>
    <row r="881" spans="1:9" ht="12.3">
      <c r="A881" s="234" t="s">
        <v>583</v>
      </c>
      <c r="B881" s="234"/>
      <c r="C881" s="872"/>
      <c r="D881" s="872"/>
      <c r="E881" s="872"/>
      <c r="F881" s="872"/>
      <c r="G881" s="872"/>
      <c r="H881" s="229"/>
      <c r="I881" s="229"/>
    </row>
    <row r="882" spans="1:9" ht="12.3">
      <c r="A882" s="167"/>
      <c r="B882" s="167"/>
      <c r="C882" s="167"/>
      <c r="D882" s="866"/>
      <c r="E882" s="37"/>
      <c r="F882" s="37"/>
      <c r="G882" s="37"/>
      <c r="H882" s="229"/>
      <c r="I882" s="229"/>
    </row>
    <row r="883" spans="1:9" ht="12.3">
      <c r="A883" s="414"/>
      <c r="B883" s="414"/>
      <c r="C883" s="168"/>
      <c r="D883" s="965" t="s">
        <v>584</v>
      </c>
      <c r="E883" s="965"/>
      <c r="F883" s="965"/>
      <c r="G883" s="869"/>
      <c r="H883" s="229"/>
      <c r="I883" s="229"/>
    </row>
    <row r="884" spans="1:9" ht="12.3">
      <c r="A884" s="414"/>
      <c r="B884" s="414"/>
      <c r="C884" s="168"/>
      <c r="D884" s="1007" t="s">
        <v>585</v>
      </c>
      <c r="E884" s="1007"/>
      <c r="F884" s="1007"/>
      <c r="G884" s="869"/>
      <c r="H884" s="229"/>
      <c r="I884" s="229"/>
    </row>
    <row r="885" spans="1:9" ht="12.3">
      <c r="A885" s="414"/>
      <c r="B885" s="414"/>
      <c r="C885" s="168"/>
      <c r="D885" s="858"/>
      <c r="E885" s="858"/>
      <c r="F885" s="858"/>
      <c r="G885" s="869"/>
      <c r="H885" s="229"/>
      <c r="I885" s="229"/>
    </row>
    <row r="886" spans="1:9" ht="12.3">
      <c r="A886" s="233"/>
      <c r="B886" s="529" t="s">
        <v>323</v>
      </c>
      <c r="C886" s="414"/>
      <c r="D886" s="960" t="s">
        <v>586</v>
      </c>
      <c r="E886" s="960"/>
      <c r="F886" s="960"/>
      <c r="G886" s="869"/>
      <c r="H886" s="229"/>
      <c r="I886" s="229"/>
    </row>
    <row r="887" spans="1:9" ht="12.3">
      <c r="A887" s="414"/>
      <c r="B887" s="414"/>
      <c r="C887" s="414"/>
      <c r="D887" s="3" t="s">
        <v>380</v>
      </c>
      <c r="E887" s="1006" t="s">
        <v>419</v>
      </c>
      <c r="F887" s="1006"/>
      <c r="G887" s="869"/>
    </row>
    <row r="888" spans="1:9" ht="12.3">
      <c r="A888" s="414"/>
      <c r="B888" s="414"/>
      <c r="C888" s="414"/>
      <c r="D888" s="232"/>
      <c r="E888" s="869"/>
      <c r="F888" s="869"/>
      <c r="G888" s="869"/>
      <c r="H888" s="229"/>
      <c r="I888" s="229"/>
    </row>
    <row r="889" spans="1:9" ht="12.3">
      <c r="A889" s="233"/>
      <c r="B889" s="529" t="s">
        <v>323</v>
      </c>
      <c r="C889" s="414"/>
      <c r="D889" s="938" t="s">
        <v>587</v>
      </c>
      <c r="E889" s="985"/>
      <c r="F889" s="985"/>
      <c r="G889" s="37"/>
    </row>
    <row r="890" spans="1:9" ht="12.6" customHeight="1">
      <c r="A890" s="414"/>
      <c r="B890" s="414"/>
      <c r="C890" s="414"/>
      <c r="D890" s="985"/>
      <c r="E890" s="985"/>
      <c r="F890" s="985"/>
      <c r="G890" s="37"/>
    </row>
    <row r="891" spans="1:9" ht="12.3">
      <c r="A891" s="233"/>
      <c r="B891" s="233"/>
      <c r="C891" s="414"/>
      <c r="D891" s="232"/>
      <c r="E891" s="869"/>
      <c r="F891" s="869"/>
      <c r="G891" s="869"/>
      <c r="H891" s="229"/>
      <c r="I891" s="229"/>
    </row>
    <row r="892" spans="1:9" ht="12.3">
      <c r="A892" s="414"/>
      <c r="B892" s="529" t="s">
        <v>325</v>
      </c>
      <c r="C892" s="414"/>
      <c r="D892" s="1004" t="s">
        <v>588</v>
      </c>
      <c r="E892" s="1004"/>
      <c r="F892" s="1004"/>
      <c r="G892" s="869"/>
      <c r="H892" s="229"/>
      <c r="I892" s="229"/>
    </row>
    <row r="893" spans="1:9" ht="29.85" customHeight="1">
      <c r="A893" s="414"/>
      <c r="B893" s="486"/>
      <c r="C893" s="414"/>
      <c r="D893" s="1004"/>
      <c r="E893" s="1004"/>
      <c r="F893" s="1004"/>
      <c r="G893" s="869"/>
      <c r="H893" s="229"/>
      <c r="I893" s="229"/>
    </row>
    <row r="894" spans="1:9" ht="12.3">
      <c r="A894" s="233"/>
      <c r="B894"/>
      <c r="C894" s="414"/>
      <c r="D894" s="938" t="s">
        <v>579</v>
      </c>
      <c r="E894" s="938"/>
      <c r="F894" s="938"/>
      <c r="G894" s="869"/>
      <c r="H894" s="229"/>
      <c r="I894" s="229"/>
    </row>
    <row r="895" spans="1:9" ht="12.3">
      <c r="A895" s="233"/>
      <c r="B895" s="233"/>
      <c r="C895" s="414"/>
      <c r="D895" s="938"/>
      <c r="E895" s="938"/>
      <c r="F895" s="938"/>
      <c r="G895" s="869"/>
      <c r="H895" s="229"/>
      <c r="I895" s="229"/>
    </row>
    <row r="896" spans="1:9" ht="12.3">
      <c r="A896" s="233"/>
      <c r="B896" s="233"/>
      <c r="C896" s="414"/>
      <c r="D896" s="938"/>
      <c r="E896" s="938"/>
      <c r="F896" s="938"/>
      <c r="G896" s="869"/>
      <c r="H896" s="229"/>
      <c r="I896" s="229"/>
    </row>
    <row r="897" spans="1:9" ht="12.3">
      <c r="A897" s="233"/>
      <c r="B897" s="233"/>
      <c r="C897" s="414"/>
      <c r="D897" s="938"/>
      <c r="E897" s="938"/>
      <c r="F897" s="938"/>
      <c r="G897" s="869"/>
      <c r="H897" s="229"/>
      <c r="I897" s="229"/>
    </row>
    <row r="898" spans="1:9" ht="12.3">
      <c r="A898" s="233"/>
      <c r="B898" s="233"/>
      <c r="C898" s="414"/>
      <c r="D898" s="938"/>
      <c r="E898" s="938"/>
      <c r="F898" s="938"/>
      <c r="G898" s="869"/>
      <c r="H898" s="229"/>
      <c r="I898" s="229"/>
    </row>
    <row r="899" spans="1:9" ht="12.3">
      <c r="A899" s="233"/>
      <c r="B899" s="233"/>
      <c r="C899" s="414"/>
      <c r="D899" s="938"/>
      <c r="E899" s="938"/>
      <c r="F899" s="938"/>
      <c r="G899" s="869"/>
      <c r="H899" s="229"/>
      <c r="I899" s="229"/>
    </row>
    <row r="900" spans="1:9" ht="12.3">
      <c r="A900" s="233"/>
      <c r="B900" s="233"/>
      <c r="C900" s="414"/>
      <c r="D900" s="232"/>
      <c r="E900" s="869"/>
      <c r="F900" s="869"/>
      <c r="G900" s="869"/>
      <c r="H900" s="229"/>
      <c r="I900" s="229"/>
    </row>
    <row r="901" spans="1:9" ht="12.3">
      <c r="A901" s="233"/>
      <c r="B901" s="529" t="s">
        <v>325</v>
      </c>
      <c r="C901" s="414"/>
      <c r="D901" s="963" t="s">
        <v>580</v>
      </c>
      <c r="E901" s="963"/>
      <c r="F901" s="963"/>
      <c r="G901" s="869"/>
      <c r="H901" s="229"/>
      <c r="I901" s="229"/>
    </row>
    <row r="902" spans="1:9" ht="12.3">
      <c r="A902" s="233"/>
      <c r="B902" s="233"/>
      <c r="C902" s="414"/>
      <c r="D902" s="963" t="s">
        <v>581</v>
      </c>
      <c r="E902" s="963"/>
      <c r="F902" s="963"/>
      <c r="G902" s="869"/>
      <c r="H902" s="229"/>
      <c r="I902" s="229"/>
    </row>
    <row r="903" spans="1:9" ht="12.3">
      <c r="A903" s="233"/>
      <c r="B903" s="233"/>
      <c r="C903" s="414"/>
      <c r="D903" s="3" t="s">
        <v>589</v>
      </c>
      <c r="E903" s="1005" t="s">
        <v>419</v>
      </c>
      <c r="F903" s="1005"/>
      <c r="G903" s="869"/>
      <c r="H903" s="229"/>
      <c r="I903" s="229"/>
    </row>
    <row r="904" spans="1:9" ht="12.3">
      <c r="A904" s="233"/>
      <c r="B904" s="233"/>
      <c r="C904" s="414"/>
      <c r="D904" s="232"/>
      <c r="E904" s="869"/>
      <c r="F904" s="869"/>
      <c r="G904" s="869"/>
      <c r="H904" s="229"/>
      <c r="I904" s="229"/>
    </row>
    <row r="905" spans="1:9" ht="12.3">
      <c r="A905" s="233"/>
      <c r="B905" s="529" t="s">
        <v>325</v>
      </c>
      <c r="C905" s="414"/>
      <c r="D905" s="938" t="s">
        <v>582</v>
      </c>
      <c r="E905" s="938"/>
      <c r="F905" s="938"/>
      <c r="G905" s="869"/>
      <c r="H905" s="229"/>
      <c r="I905" s="229"/>
    </row>
    <row r="906" spans="1:9" ht="12.3">
      <c r="A906" s="233"/>
      <c r="B906" s="233"/>
      <c r="C906" s="414"/>
      <c r="D906" s="938"/>
      <c r="E906" s="938"/>
      <c r="F906" s="938"/>
      <c r="G906" s="869"/>
      <c r="H906" s="229"/>
      <c r="I906" s="229"/>
    </row>
    <row r="907" spans="1:9" ht="12.3">
      <c r="A907" s="233"/>
      <c r="B907" s="233"/>
      <c r="C907" s="414"/>
      <c r="D907" s="938"/>
      <c r="E907" s="938"/>
      <c r="F907" s="938"/>
      <c r="G907" s="869"/>
      <c r="H907" s="229"/>
      <c r="I907" s="229"/>
    </row>
    <row r="908" spans="1:9" ht="12.3">
      <c r="A908" s="233"/>
      <c r="B908" s="233"/>
      <c r="C908" s="414"/>
      <c r="D908" s="938"/>
      <c r="E908" s="938"/>
      <c r="F908" s="938"/>
      <c r="G908" s="869"/>
      <c r="H908" s="229"/>
      <c r="I908" s="229"/>
    </row>
    <row r="909" spans="1:9" ht="12.3">
      <c r="A909" s="232"/>
      <c r="B909" s="232"/>
      <c r="C909" s="868"/>
      <c r="D909" s="869"/>
      <c r="E909" s="869"/>
      <c r="F909" s="869"/>
      <c r="G909" s="869"/>
      <c r="H909" s="229"/>
      <c r="I909" s="229"/>
    </row>
    <row r="910" spans="1:9" ht="12.3">
      <c r="A910" s="964" t="s">
        <v>590</v>
      </c>
      <c r="B910" s="964"/>
      <c r="C910" s="964"/>
      <c r="D910" s="964"/>
      <c r="E910" s="964"/>
      <c r="F910" s="964"/>
      <c r="G910" s="964"/>
      <c r="H910" s="229"/>
      <c r="I910" s="229"/>
    </row>
    <row r="911" spans="1:9" ht="12.3">
      <c r="A911" s="232"/>
      <c r="B911" s="232"/>
      <c r="C911" s="868"/>
      <c r="D911" s="869"/>
      <c r="E911" s="869"/>
      <c r="F911" s="869"/>
      <c r="G911" s="869"/>
      <c r="H911" s="229"/>
      <c r="I911" s="229"/>
    </row>
    <row r="912" spans="1:9" ht="12.3">
      <c r="A912" s="414"/>
      <c r="B912" s="414"/>
      <c r="C912" s="868"/>
      <c r="D912" s="989" t="s">
        <v>591</v>
      </c>
      <c r="E912" s="989"/>
      <c r="F912" s="989"/>
      <c r="G912" s="869"/>
      <c r="H912" s="229"/>
      <c r="I912" s="229"/>
    </row>
    <row r="913" spans="1:9" ht="12.3">
      <c r="A913" s="167"/>
      <c r="B913" s="167"/>
      <c r="C913" s="167"/>
      <c r="D913" s="960" t="s">
        <v>592</v>
      </c>
      <c r="E913" s="960"/>
      <c r="F913" s="960"/>
      <c r="G913" s="869"/>
      <c r="H913" s="229"/>
      <c r="I913" s="229"/>
    </row>
    <row r="914" spans="1:9" ht="12.3">
      <c r="A914" s="167"/>
      <c r="B914" s="167"/>
      <c r="C914" s="167"/>
      <c r="D914" s="37"/>
      <c r="E914" s="37"/>
      <c r="F914" s="869"/>
      <c r="G914" s="869"/>
      <c r="H914" s="229"/>
      <c r="I914" s="229"/>
    </row>
    <row r="915" spans="1:9" ht="14.1" customHeight="1">
      <c r="A915" s="167"/>
      <c r="B915" s="529" t="s">
        <v>325</v>
      </c>
      <c r="C915" s="167"/>
      <c r="D915" s="966" t="s">
        <v>593</v>
      </c>
      <c r="E915" s="966"/>
      <c r="F915" s="966"/>
      <c r="G915" s="869"/>
      <c r="H915" s="229"/>
      <c r="I915" s="229"/>
    </row>
    <row r="916" spans="1:9" ht="12.3">
      <c r="A916" s="167"/>
      <c r="B916" s="167"/>
      <c r="C916" s="167"/>
      <c r="D916" s="966"/>
      <c r="E916" s="966"/>
      <c r="F916" s="966"/>
      <c r="G916" s="869"/>
      <c r="H916" s="229"/>
      <c r="I916" s="229"/>
    </row>
    <row r="917" spans="1:9" ht="12.3">
      <c r="A917" s="167"/>
      <c r="B917" s="167"/>
      <c r="C917" s="167"/>
      <c r="D917" s="966"/>
      <c r="E917" s="966"/>
      <c r="F917" s="966"/>
      <c r="G917" s="869"/>
      <c r="H917" s="229"/>
      <c r="I917" s="229"/>
    </row>
    <row r="918" spans="1:9" ht="12.3">
      <c r="A918" s="167"/>
      <c r="B918" s="167"/>
      <c r="C918" s="167"/>
      <c r="D918" s="966"/>
      <c r="E918" s="966"/>
      <c r="F918" s="966"/>
      <c r="G918" s="869"/>
      <c r="H918" s="229"/>
      <c r="I918" s="229"/>
    </row>
    <row r="919" spans="1:9" ht="12.3">
      <c r="A919" s="167"/>
      <c r="B919" s="167"/>
      <c r="C919" s="167"/>
      <c r="D919" s="966"/>
      <c r="E919" s="966"/>
      <c r="F919" s="966"/>
      <c r="G919" s="869"/>
      <c r="H919" s="229"/>
      <c r="I919" s="229"/>
    </row>
    <row r="920" spans="1:9" ht="12.3">
      <c r="A920" s="168"/>
      <c r="B920" s="168"/>
      <c r="C920" s="168"/>
      <c r="D920" s="37"/>
      <c r="E920" s="37"/>
      <c r="F920" s="869"/>
      <c r="G920" s="869"/>
      <c r="H920" s="229"/>
      <c r="I920" s="229"/>
    </row>
    <row r="921" spans="1:9" ht="14.25" customHeight="1">
      <c r="A921" s="233"/>
      <c r="B921" s="529" t="s">
        <v>323</v>
      </c>
      <c r="C921" s="168"/>
      <c r="D921" s="943" t="s">
        <v>594</v>
      </c>
      <c r="E921" s="943"/>
      <c r="F921" s="943"/>
      <c r="G921" s="869"/>
      <c r="H921" s="229"/>
      <c r="I921" s="229"/>
    </row>
    <row r="922" spans="1:9" ht="14.25" customHeight="1">
      <c r="A922" s="233"/>
      <c r="B922" s="233"/>
      <c r="C922" s="168"/>
      <c r="D922" s="943"/>
      <c r="E922" s="943"/>
      <c r="F922" s="943"/>
      <c r="G922" s="869"/>
      <c r="H922" s="229"/>
      <c r="I922" s="229"/>
    </row>
    <row r="923" spans="1:9" ht="14.25" customHeight="1">
      <c r="A923" s="233"/>
      <c r="B923" s="233"/>
      <c r="C923" s="168"/>
      <c r="D923" s="943"/>
      <c r="E923" s="943"/>
      <c r="F923" s="943"/>
      <c r="G923" s="869"/>
      <c r="H923" s="229"/>
      <c r="I923" s="229"/>
    </row>
    <row r="924" spans="1:9" ht="14.25" customHeight="1">
      <c r="A924" s="233"/>
      <c r="B924" s="233"/>
      <c r="C924" s="168"/>
      <c r="D924" s="943"/>
      <c r="E924" s="943"/>
      <c r="F924" s="943"/>
      <c r="G924" s="869"/>
      <c r="H924" s="229"/>
      <c r="I924" s="229"/>
    </row>
    <row r="925" spans="1:9" ht="14.25" customHeight="1">
      <c r="A925" s="168"/>
      <c r="B925" s="168"/>
      <c r="C925" s="168"/>
      <c r="D925" s="943"/>
      <c r="E925" s="943"/>
      <c r="F925" s="943"/>
      <c r="G925" s="869"/>
      <c r="H925" s="229"/>
      <c r="I925" s="229"/>
    </row>
    <row r="926" spans="1:9" ht="14.25" customHeight="1">
      <c r="A926" s="168"/>
      <c r="B926" s="168"/>
      <c r="C926" s="168"/>
      <c r="D926" s="943"/>
      <c r="E926" s="943"/>
      <c r="F926" s="943"/>
      <c r="G926" s="869"/>
      <c r="H926" s="229"/>
      <c r="I926" s="229"/>
    </row>
    <row r="927" spans="1:9" ht="14.25" customHeight="1">
      <c r="A927" s="168"/>
      <c r="B927" s="168"/>
      <c r="C927" s="168"/>
      <c r="D927" s="943"/>
      <c r="E927" s="943"/>
      <c r="F927" s="943"/>
      <c r="G927" s="869"/>
      <c r="H927" s="229"/>
      <c r="I927" s="229"/>
    </row>
    <row r="928" spans="1:9" ht="14.25" customHeight="1">
      <c r="A928" s="168"/>
      <c r="B928" s="168"/>
      <c r="C928" s="168"/>
      <c r="D928" s="3"/>
      <c r="E928" s="37"/>
      <c r="F928" s="869"/>
      <c r="G928" s="869"/>
      <c r="H928" s="229"/>
      <c r="I928" s="229"/>
    </row>
    <row r="929" spans="1:9" s="271" customFormat="1" ht="14.25" customHeight="1">
      <c r="A929" s="292"/>
      <c r="B929" s="529" t="s">
        <v>325</v>
      </c>
      <c r="C929" s="293"/>
      <c r="D929" s="943" t="s">
        <v>595</v>
      </c>
      <c r="E929" s="943"/>
      <c r="F929" s="943"/>
      <c r="G929" s="873"/>
      <c r="H929" s="294"/>
      <c r="I929" s="294"/>
    </row>
    <row r="930" spans="1:9" s="271" customFormat="1" ht="14.25" customHeight="1">
      <c r="A930" s="292"/>
      <c r="B930" s="292"/>
      <c r="C930" s="293"/>
      <c r="D930" s="943"/>
      <c r="E930" s="943"/>
      <c r="F930" s="943"/>
      <c r="G930" s="873"/>
      <c r="H930" s="294"/>
      <c r="I930" s="294"/>
    </row>
    <row r="931" spans="1:9" s="271" customFormat="1" ht="14.25" customHeight="1">
      <c r="A931" s="292"/>
      <c r="B931" s="292"/>
      <c r="C931" s="293"/>
      <c r="D931" s="943"/>
      <c r="E931" s="943"/>
      <c r="F931" s="943"/>
      <c r="G931" s="873"/>
      <c r="H931" s="294"/>
      <c r="I931" s="294"/>
    </row>
    <row r="932" spans="1:9" s="271" customFormat="1" ht="14.25" customHeight="1">
      <c r="A932" s="292"/>
      <c r="B932" s="292"/>
      <c r="C932" s="293"/>
      <c r="D932" s="943"/>
      <c r="E932" s="943"/>
      <c r="F932" s="943"/>
      <c r="G932" s="873"/>
      <c r="H932" s="294"/>
      <c r="I932" s="294"/>
    </row>
    <row r="933" spans="1:9" s="271" customFormat="1" ht="14.25" customHeight="1">
      <c r="A933" s="292"/>
      <c r="B933" s="292"/>
      <c r="C933" s="293"/>
      <c r="D933" s="943"/>
      <c r="E933" s="943"/>
      <c r="F933" s="943"/>
      <c r="G933" s="873"/>
      <c r="H933" s="294"/>
      <c r="I933" s="294"/>
    </row>
    <row r="934" spans="1:9" s="271" customFormat="1" ht="12.3">
      <c r="A934" s="292"/>
      <c r="B934" s="292"/>
      <c r="C934" s="293"/>
      <c r="D934" s="943"/>
      <c r="E934" s="943"/>
      <c r="F934" s="943"/>
      <c r="G934" s="873"/>
      <c r="H934" s="294"/>
      <c r="I934" s="294"/>
    </row>
    <row r="935" spans="1:9" s="271" customFormat="1" ht="14.25" customHeight="1">
      <c r="A935" s="292"/>
      <c r="B935" s="292"/>
      <c r="C935" s="293"/>
      <c r="D935" s="943"/>
      <c r="E935" s="943"/>
      <c r="F935" s="943"/>
      <c r="G935" s="873"/>
      <c r="H935" s="294"/>
      <c r="I935" s="294"/>
    </row>
    <row r="936" spans="1:9" s="271" customFormat="1" ht="14.25" customHeight="1">
      <c r="A936" s="292"/>
      <c r="B936" s="292"/>
      <c r="C936" s="293"/>
      <c r="D936" s="943"/>
      <c r="E936" s="943"/>
      <c r="F936" s="943"/>
      <c r="G936" s="873"/>
      <c r="H936" s="294"/>
      <c r="I936" s="294"/>
    </row>
    <row r="937" spans="1:9" s="271" customFormat="1" ht="14.25" customHeight="1">
      <c r="A937" s="292"/>
      <c r="B937" s="292"/>
      <c r="C937" s="293"/>
      <c r="D937" s="943"/>
      <c r="E937" s="943"/>
      <c r="F937" s="943"/>
      <c r="G937" s="873"/>
      <c r="H937" s="294"/>
      <c r="I937" s="294"/>
    </row>
    <row r="938" spans="1:9" ht="14.25" customHeight="1">
      <c r="A938" s="168"/>
      <c r="B938" s="168"/>
      <c r="C938" s="168"/>
      <c r="D938" s="3"/>
      <c r="E938" s="37"/>
      <c r="F938" s="869"/>
      <c r="G938" s="869"/>
      <c r="H938" s="229"/>
      <c r="I938" s="229"/>
    </row>
    <row r="939" spans="1:9" ht="14.25" customHeight="1">
      <c r="A939" s="233"/>
      <c r="B939" s="529" t="s">
        <v>323</v>
      </c>
      <c r="C939" s="168"/>
      <c r="D939" s="987" t="s">
        <v>596</v>
      </c>
      <c r="E939" s="987"/>
      <c r="F939" s="987"/>
      <c r="G939" s="869"/>
      <c r="H939" s="229"/>
      <c r="I939" s="229"/>
    </row>
    <row r="940" spans="1:9" ht="14.25" customHeight="1">
      <c r="A940" s="233"/>
      <c r="B940" s="233"/>
      <c r="C940" s="168"/>
      <c r="D940" s="987"/>
      <c r="E940" s="987"/>
      <c r="F940" s="987"/>
      <c r="G940" s="869"/>
      <c r="H940" s="229"/>
      <c r="I940" s="229"/>
    </row>
    <row r="941" spans="1:9" ht="14.25" customHeight="1">
      <c r="A941" s="233"/>
      <c r="B941" s="233"/>
      <c r="C941" s="168"/>
      <c r="D941" s="987"/>
      <c r="E941" s="987"/>
      <c r="F941" s="987"/>
      <c r="G941" s="869"/>
      <c r="H941" s="229"/>
      <c r="I941" s="229"/>
    </row>
    <row r="942" spans="1:9" ht="14.25" customHeight="1">
      <c r="A942" s="233"/>
      <c r="B942" s="233"/>
      <c r="C942" s="168"/>
      <c r="D942" s="987"/>
      <c r="E942" s="987"/>
      <c r="F942" s="987"/>
      <c r="G942" s="869"/>
      <c r="H942" s="229"/>
      <c r="I942" s="229"/>
    </row>
    <row r="943" spans="1:9" ht="14.25" customHeight="1">
      <c r="A943" s="233"/>
      <c r="B943" s="233"/>
      <c r="C943" s="168"/>
      <c r="D943" s="987"/>
      <c r="E943" s="987"/>
      <c r="F943" s="987"/>
      <c r="G943" s="869"/>
      <c r="H943" s="229"/>
      <c r="I943" s="229"/>
    </row>
    <row r="944" spans="1:9" ht="14.25" customHeight="1">
      <c r="A944" s="233"/>
      <c r="B944" s="233"/>
      <c r="C944" s="168"/>
      <c r="D944" s="987"/>
      <c r="E944" s="987"/>
      <c r="F944" s="987"/>
      <c r="G944" s="869"/>
      <c r="H944" s="229"/>
      <c r="I944" s="229"/>
    </row>
    <row r="945" spans="1:9" ht="14.25" customHeight="1">
      <c r="A945" s="233"/>
      <c r="B945" s="233"/>
      <c r="C945" s="168"/>
      <c r="D945" s="987"/>
      <c r="E945" s="987"/>
      <c r="F945" s="987"/>
      <c r="G945" s="869"/>
      <c r="H945" s="229"/>
      <c r="I945" s="229"/>
    </row>
    <row r="946" spans="1:9" ht="14.25" customHeight="1">
      <c r="A946" s="233"/>
      <c r="B946" s="233"/>
      <c r="C946" s="168"/>
      <c r="D946" s="303"/>
      <c r="E946" s="37"/>
      <c r="F946" s="869"/>
      <c r="G946" s="869"/>
      <c r="H946" s="229"/>
      <c r="I946" s="229"/>
    </row>
    <row r="947" spans="1:9" s="377" customFormat="1" ht="12.3">
      <c r="A947" s="233"/>
      <c r="B947" s="529" t="s">
        <v>325</v>
      </c>
      <c r="C947" s="168"/>
      <c r="D947" s="943" t="s">
        <v>597</v>
      </c>
      <c r="E947" s="943"/>
      <c r="F947" s="943"/>
      <c r="G947" s="869"/>
    </row>
    <row r="948" spans="1:9" s="377" customFormat="1" ht="12.3">
      <c r="A948" s="233"/>
      <c r="B948" s="233"/>
      <c r="C948" s="168"/>
      <c r="D948" s="943"/>
      <c r="E948" s="943"/>
      <c r="F948" s="943"/>
      <c r="G948" s="869"/>
    </row>
    <row r="949" spans="1:9" s="377" customFormat="1" ht="12.3">
      <c r="A949" s="233"/>
      <c r="B949" s="233"/>
      <c r="C949" s="168"/>
      <c r="D949" s="943"/>
      <c r="E949" s="943"/>
      <c r="F949" s="943"/>
      <c r="G949" s="869"/>
    </row>
    <row r="950" spans="1:9" s="377" customFormat="1" ht="12.3">
      <c r="A950" s="233"/>
      <c r="B950" s="233"/>
      <c r="C950" s="168"/>
      <c r="D950" s="943"/>
      <c r="E950" s="943"/>
      <c r="F950" s="943"/>
      <c r="G950" s="869"/>
    </row>
    <row r="951" spans="1:9" s="377" customFormat="1" ht="12.3">
      <c r="A951" s="233"/>
      <c r="B951" s="233"/>
      <c r="C951" s="168"/>
      <c r="D951" s="3"/>
      <c r="E951" s="37"/>
      <c r="F951" s="869"/>
      <c r="G951" s="869"/>
    </row>
    <row r="952" spans="1:9" ht="14.25" customHeight="1">
      <c r="A952" s="18"/>
      <c r="B952" s="18"/>
      <c r="C952" s="868"/>
      <c r="D952" s="938" t="s">
        <v>598</v>
      </c>
      <c r="E952" s="938"/>
      <c r="F952" s="938"/>
      <c r="G952" s="869"/>
      <c r="H952" s="229"/>
      <c r="I952" s="229"/>
    </row>
    <row r="953" spans="1:9" ht="14.25" customHeight="1">
      <c r="A953" s="868"/>
      <c r="B953" s="868"/>
      <c r="C953" s="868"/>
      <c r="D953" s="938"/>
      <c r="E953" s="938"/>
      <c r="F953" s="938"/>
      <c r="G953" s="869"/>
      <c r="H953" s="229"/>
      <c r="I953" s="229"/>
    </row>
    <row r="954" spans="1:9" ht="14.25" customHeight="1">
      <c r="A954" s="868"/>
      <c r="B954" s="868"/>
      <c r="C954" s="868"/>
      <c r="D954" s="3"/>
      <c r="E954" s="869"/>
      <c r="F954" s="869"/>
      <c r="G954" s="869"/>
      <c r="H954" s="229"/>
      <c r="I954" s="229"/>
    </row>
    <row r="955" spans="1:9" ht="12.3">
      <c r="A955" s="233"/>
      <c r="B955" s="529" t="s">
        <v>323</v>
      </c>
      <c r="C955" s="414"/>
      <c r="D955" s="938" t="s">
        <v>599</v>
      </c>
      <c r="E955" s="938"/>
      <c r="F955" s="938"/>
      <c r="G955" s="37"/>
    </row>
    <row r="956" spans="1:9" ht="12.3">
      <c r="A956" s="414"/>
      <c r="B956" s="414"/>
      <c r="C956" s="414"/>
      <c r="D956" s="938"/>
      <c r="E956" s="938"/>
      <c r="F956" s="938"/>
      <c r="G956" s="37"/>
    </row>
    <row r="957" spans="1:9" ht="14.25" customHeight="1">
      <c r="A957" s="868"/>
      <c r="B957" s="868"/>
      <c r="C957" s="868"/>
      <c r="D957" s="3"/>
      <c r="E957" s="869"/>
      <c r="F957" s="869"/>
      <c r="G957" s="869"/>
      <c r="H957" s="229"/>
      <c r="I957" s="229"/>
    </row>
    <row r="958" spans="1:9" ht="14.25" customHeight="1">
      <c r="A958" s="168"/>
      <c r="B958" s="168"/>
      <c r="C958" s="168"/>
      <c r="D958" s="989" t="s">
        <v>600</v>
      </c>
      <c r="E958" s="989"/>
      <c r="F958" s="989"/>
      <c r="G958" s="869"/>
      <c r="H958" s="229"/>
      <c r="I958" s="229"/>
    </row>
    <row r="959" spans="1:9" ht="14.25" customHeight="1">
      <c r="A959" s="168"/>
      <c r="B959" s="168"/>
      <c r="C959" s="168"/>
      <c r="D959" s="169"/>
      <c r="E959" s="37"/>
      <c r="F959" s="869"/>
      <c r="G959" s="869"/>
      <c r="H959" s="229"/>
      <c r="I959" s="229"/>
    </row>
    <row r="960" spans="1:9" ht="14.85" customHeight="1">
      <c r="A960" s="233"/>
      <c r="B960" s="529" t="s">
        <v>325</v>
      </c>
      <c r="C960" s="868"/>
      <c r="D960" s="967" t="s">
        <v>601</v>
      </c>
      <c r="E960" s="967"/>
      <c r="F960" s="967"/>
      <c r="G960" s="869"/>
      <c r="H960" s="229"/>
      <c r="I960" s="229"/>
    </row>
    <row r="961" spans="1:9" ht="12.3">
      <c r="A961" s="868"/>
      <c r="B961" s="868"/>
      <c r="C961" s="868"/>
      <c r="D961" s="967"/>
      <c r="E961" s="967"/>
      <c r="F961" s="967"/>
      <c r="G961" s="869"/>
      <c r="H961" s="229"/>
      <c r="I961" s="229"/>
    </row>
    <row r="962" spans="1:9" ht="12.3">
      <c r="A962" s="868"/>
      <c r="B962" s="868"/>
      <c r="C962" s="868"/>
      <c r="D962" s="967"/>
      <c r="E962" s="967"/>
      <c r="F962" s="967"/>
      <c r="G962" s="869"/>
      <c r="H962" s="229"/>
      <c r="I962" s="229"/>
    </row>
    <row r="963" spans="1:9" ht="12.3">
      <c r="A963" s="868"/>
      <c r="B963" s="868"/>
      <c r="C963" s="868"/>
      <c r="D963" s="967"/>
      <c r="E963" s="967"/>
      <c r="F963" s="967"/>
      <c r="G963" s="869"/>
      <c r="H963" s="229"/>
      <c r="I963" s="229"/>
    </row>
    <row r="964" spans="1:9" ht="12.3">
      <c r="A964" s="868"/>
      <c r="B964" s="868"/>
      <c r="C964" s="868"/>
      <c r="D964" s="967"/>
      <c r="E964" s="967"/>
      <c r="F964" s="967"/>
      <c r="G964" s="869"/>
      <c r="H964" s="229"/>
      <c r="I964" s="229"/>
    </row>
    <row r="965" spans="1:9" ht="12.3">
      <c r="A965" s="868"/>
      <c r="B965" s="868"/>
      <c r="C965" s="868"/>
      <c r="D965" s="967"/>
      <c r="E965" s="967"/>
      <c r="F965" s="967"/>
      <c r="G965" s="869"/>
      <c r="H965" s="229"/>
      <c r="I965" s="229"/>
    </row>
    <row r="966" spans="1:9" ht="12.3">
      <c r="A966" s="868"/>
      <c r="B966" s="868"/>
      <c r="C966" s="868"/>
      <c r="D966" s="532"/>
      <c r="E966" s="532"/>
      <c r="F966" s="532"/>
      <c r="G966" s="869"/>
      <c r="H966" s="229"/>
      <c r="I966" s="229"/>
    </row>
    <row r="967" spans="1:9" ht="14.85" customHeight="1">
      <c r="A967" s="233"/>
      <c r="B967" s="529" t="s">
        <v>325</v>
      </c>
      <c r="C967" s="868"/>
      <c r="D967" s="967" t="s">
        <v>602</v>
      </c>
      <c r="E967" s="967"/>
      <c r="F967" s="967"/>
      <c r="G967" s="869"/>
      <c r="H967" s="229"/>
      <c r="I967" s="229"/>
    </row>
    <row r="968" spans="1:9" ht="12.3">
      <c r="A968" s="868"/>
      <c r="B968" s="868"/>
      <c r="C968" s="868"/>
      <c r="D968" s="967"/>
      <c r="E968" s="967"/>
      <c r="F968" s="967"/>
      <c r="G968" s="869"/>
      <c r="H968" s="229"/>
      <c r="I968" s="229"/>
    </row>
    <row r="969" spans="1:9" ht="12.3">
      <c r="A969" s="868"/>
      <c r="B969" s="868"/>
      <c r="C969" s="868"/>
      <c r="D969" s="967"/>
      <c r="E969" s="967"/>
      <c r="F969" s="967"/>
      <c r="G969" s="869"/>
      <c r="H969" s="229"/>
      <c r="I969" s="229"/>
    </row>
    <row r="970" spans="1:9" ht="12.3">
      <c r="A970" s="868"/>
      <c r="B970" s="868"/>
      <c r="C970" s="868"/>
      <c r="D970" s="967"/>
      <c r="E970" s="967"/>
      <c r="F970" s="967"/>
      <c r="G970" s="869"/>
      <c r="H970" s="229"/>
      <c r="I970" s="229"/>
    </row>
    <row r="971" spans="1:9" ht="12.3">
      <c r="A971" s="868"/>
      <c r="B971" s="868"/>
      <c r="C971" s="868"/>
      <c r="D971" s="967"/>
      <c r="E971" s="967"/>
      <c r="F971" s="967"/>
      <c r="G971" s="869"/>
      <c r="H971" s="229"/>
      <c r="I971" s="229"/>
    </row>
    <row r="972" spans="1:9" ht="12.3">
      <c r="A972" s="868"/>
      <c r="B972" s="868"/>
      <c r="C972" s="868"/>
      <c r="D972" s="301"/>
      <c r="E972" s="869"/>
      <c r="F972" s="869"/>
      <c r="G972" s="869"/>
      <c r="H972" s="229"/>
      <c r="I972" s="229"/>
    </row>
    <row r="973" spans="1:9" ht="12.3">
      <c r="A973" s="233"/>
      <c r="B973" s="529" t="s">
        <v>325</v>
      </c>
      <c r="C973" s="868"/>
      <c r="D973" s="967" t="s">
        <v>603</v>
      </c>
      <c r="E973" s="967"/>
      <c r="F973" s="967"/>
      <c r="G973" s="869"/>
      <c r="H973" s="229"/>
      <c r="I973" s="229"/>
    </row>
    <row r="974" spans="1:9" ht="12.3">
      <c r="A974" s="868"/>
      <c r="B974" s="868"/>
      <c r="C974" s="868"/>
      <c r="D974" s="967"/>
      <c r="E974" s="967"/>
      <c r="F974" s="967"/>
      <c r="G974" s="869"/>
      <c r="H974" s="229"/>
      <c r="I974" s="229"/>
    </row>
    <row r="975" spans="1:9" ht="12.3">
      <c r="A975" s="868"/>
      <c r="B975" s="868"/>
      <c r="C975" s="868"/>
      <c r="D975" s="967"/>
      <c r="E975" s="967"/>
      <c r="F975" s="967"/>
      <c r="G975" s="869"/>
      <c r="H975" s="229"/>
      <c r="I975" s="229"/>
    </row>
    <row r="976" spans="1:9" ht="12.3">
      <c r="A976" s="868"/>
      <c r="B976" s="868"/>
      <c r="C976" s="868"/>
      <c r="D976" s="967"/>
      <c r="E976" s="967"/>
      <c r="F976" s="967"/>
      <c r="G976" s="869"/>
      <c r="H976" s="229"/>
      <c r="I976" s="229"/>
    </row>
    <row r="977" spans="1:9" ht="12.3">
      <c r="A977" s="868"/>
      <c r="B977" s="868"/>
      <c r="C977" s="868"/>
      <c r="D977" s="967"/>
      <c r="E977" s="967"/>
      <c r="F977" s="967"/>
      <c r="G977" s="869"/>
      <c r="H977" s="229"/>
      <c r="I977" s="229"/>
    </row>
    <row r="978" spans="1:9" ht="12.3">
      <c r="A978" s="868"/>
      <c r="B978" s="868"/>
      <c r="C978" s="868"/>
      <c r="D978" s="301"/>
      <c r="E978" s="869"/>
      <c r="F978" s="869"/>
      <c r="G978" s="869"/>
      <c r="H978" s="229"/>
      <c r="I978" s="229"/>
    </row>
    <row r="979" spans="1:9" ht="14.85" customHeight="1">
      <c r="A979" s="233"/>
      <c r="B979" s="529" t="s">
        <v>323</v>
      </c>
      <c r="C979" s="868"/>
      <c r="D979" s="967" t="s">
        <v>604</v>
      </c>
      <c r="E979" s="967"/>
      <c r="F979" s="967"/>
      <c r="G979" s="869"/>
      <c r="H979" s="229"/>
      <c r="I979" s="229"/>
    </row>
    <row r="980" spans="1:9" ht="12.3">
      <c r="A980" s="868"/>
      <c r="B980" s="868"/>
      <c r="C980" s="868"/>
      <c r="D980" s="967"/>
      <c r="E980" s="967"/>
      <c r="F980" s="967"/>
      <c r="G980" s="869"/>
      <c r="H980" s="229"/>
      <c r="I980" s="229"/>
    </row>
    <row r="981" spans="1:9" ht="12.3">
      <c r="A981" s="868"/>
      <c r="B981" s="868"/>
      <c r="C981" s="868"/>
      <c r="D981" s="967"/>
      <c r="E981" s="967"/>
      <c r="F981" s="967"/>
      <c r="G981" s="869"/>
      <c r="H981" s="229"/>
      <c r="I981" s="229"/>
    </row>
    <row r="982" spans="1:9" ht="12.3">
      <c r="A982" s="868"/>
      <c r="B982" s="868"/>
      <c r="C982" s="868"/>
      <c r="D982" s="532"/>
      <c r="E982" s="532"/>
      <c r="F982" s="532"/>
      <c r="G982" s="869"/>
      <c r="H982" s="229"/>
      <c r="I982" s="229"/>
    </row>
    <row r="983" spans="1:9" ht="12.3">
      <c r="A983" s="233"/>
      <c r="B983" s="529" t="s">
        <v>325</v>
      </c>
      <c r="C983" s="868"/>
      <c r="D983" s="967" t="s">
        <v>605</v>
      </c>
      <c r="E983" s="967"/>
      <c r="F983" s="967"/>
      <c r="G983" s="869"/>
      <c r="H983" s="229"/>
      <c r="I983" s="229"/>
    </row>
    <row r="984" spans="1:9" ht="12.3">
      <c r="A984" s="868"/>
      <c r="B984" s="868"/>
      <c r="C984" s="868"/>
      <c r="D984" s="967"/>
      <c r="E984" s="967"/>
      <c r="F984" s="967"/>
      <c r="G984" s="869"/>
      <c r="H984" s="229"/>
      <c r="I984" s="229"/>
    </row>
    <row r="985" spans="1:9" ht="12.3">
      <c r="A985" s="868"/>
      <c r="B985" s="868"/>
      <c r="C985" s="868"/>
      <c r="D985" s="301"/>
      <c r="E985" s="869"/>
      <c r="F985" s="869"/>
      <c r="G985" s="869"/>
      <c r="H985" s="229"/>
      <c r="I985" s="229"/>
    </row>
    <row r="986" spans="1:9" ht="12.3">
      <c r="A986" s="868"/>
      <c r="B986" s="529" t="s">
        <v>325</v>
      </c>
      <c r="C986" s="868"/>
      <c r="D986" s="938" t="s">
        <v>606</v>
      </c>
      <c r="E986" s="938"/>
      <c r="F986" s="938"/>
      <c r="G986" s="869"/>
      <c r="H986" s="229"/>
      <c r="I986" s="229"/>
    </row>
    <row r="987" spans="1:9" ht="12.3">
      <c r="A987" s="868"/>
      <c r="B987" s="868"/>
      <c r="C987" s="868"/>
      <c r="D987" s="938"/>
      <c r="E987" s="938"/>
      <c r="F987" s="938"/>
      <c r="G987" s="869"/>
      <c r="H987" s="229"/>
      <c r="I987" s="229"/>
    </row>
    <row r="988" spans="1:9" ht="12.3">
      <c r="A988" s="868"/>
      <c r="B988" s="868"/>
      <c r="C988" s="868"/>
      <c r="D988" s="869"/>
      <c r="E988" s="869"/>
      <c r="F988" s="869"/>
      <c r="G988" s="869"/>
      <c r="H988" s="229"/>
      <c r="I988" s="229"/>
    </row>
    <row r="989" spans="1:9" ht="12.3">
      <c r="A989" s="868"/>
      <c r="B989" s="529" t="s">
        <v>325</v>
      </c>
      <c r="C989" s="868"/>
      <c r="D989" s="991" t="s">
        <v>607</v>
      </c>
      <c r="E989" s="991"/>
      <c r="F989" s="991"/>
      <c r="G989" s="869"/>
      <c r="H989" s="229"/>
      <c r="I989" s="229"/>
    </row>
    <row r="990" spans="1:9" ht="12.3">
      <c r="A990" s="868"/>
      <c r="B990" s="868"/>
      <c r="C990" s="868"/>
      <c r="D990" s="991"/>
      <c r="E990" s="991"/>
      <c r="F990" s="991"/>
      <c r="G990" s="869"/>
      <c r="H990" s="229"/>
      <c r="I990" s="229"/>
    </row>
    <row r="991" spans="1:9" ht="12.3">
      <c r="A991" s="868"/>
      <c r="B991" s="868"/>
      <c r="C991" s="868"/>
      <c r="D991" s="991"/>
      <c r="E991" s="991"/>
      <c r="F991" s="991"/>
      <c r="G991" s="869"/>
      <c r="H991" s="229"/>
      <c r="I991" s="229"/>
    </row>
    <row r="992" spans="1:9" ht="12.3">
      <c r="A992" s="868"/>
      <c r="B992" s="868"/>
      <c r="C992" s="868"/>
      <c r="D992" s="991"/>
      <c r="E992" s="991"/>
      <c r="F992" s="991"/>
      <c r="G992" s="869"/>
      <c r="H992" s="229"/>
      <c r="I992" s="229"/>
    </row>
    <row r="993" spans="1:9" ht="12.3">
      <c r="A993" s="868"/>
      <c r="B993" s="868"/>
      <c r="C993" s="868"/>
      <c r="D993" s="232"/>
      <c r="E993" s="869"/>
      <c r="F993" s="869"/>
      <c r="G993" s="869"/>
      <c r="H993" s="229"/>
      <c r="I993" s="229"/>
    </row>
    <row r="994" spans="1:9" ht="12.3">
      <c r="A994" s="868"/>
      <c r="B994" s="529" t="s">
        <v>325</v>
      </c>
      <c r="C994" s="868"/>
      <c r="D994" s="960" t="s">
        <v>608</v>
      </c>
      <c r="E994" s="960"/>
      <c r="F994" s="960"/>
      <c r="G994" s="869"/>
      <c r="H994" s="229"/>
      <c r="I994" s="229"/>
    </row>
    <row r="995" spans="1:9" ht="12.3">
      <c r="A995" s="868"/>
      <c r="B995" s="868"/>
      <c r="C995" s="868"/>
      <c r="D995" s="232"/>
      <c r="E995" s="869"/>
      <c r="F995" s="869"/>
      <c r="G995" s="869"/>
      <c r="H995" s="229"/>
      <c r="I995" s="229"/>
    </row>
    <row r="996" spans="1:9" ht="12.3">
      <c r="A996" s="868"/>
      <c r="B996" s="529" t="s">
        <v>325</v>
      </c>
      <c r="C996" s="868"/>
      <c r="D996" s="960" t="s">
        <v>609</v>
      </c>
      <c r="E996" s="960"/>
      <c r="F996" s="960"/>
      <c r="G996" s="869"/>
      <c r="H996" s="229"/>
      <c r="I996" s="229"/>
    </row>
    <row r="997" spans="1:9" ht="12.75" customHeight="1">
      <c r="A997" s="868"/>
      <c r="B997" s="868"/>
      <c r="C997" s="868"/>
      <c r="D997" s="869"/>
      <c r="E997" s="869"/>
      <c r="F997" s="869"/>
      <c r="G997" s="869"/>
      <c r="H997" s="229"/>
      <c r="I997" s="229"/>
    </row>
    <row r="998" spans="1:9" ht="12.3">
      <c r="A998" s="868"/>
      <c r="B998" s="414"/>
      <c r="C998" s="868"/>
      <c r="D998" s="965" t="s">
        <v>610</v>
      </c>
      <c r="E998" s="965"/>
      <c r="F998" s="965"/>
      <c r="G998" s="869"/>
      <c r="H998" s="229"/>
      <c r="I998" s="229"/>
    </row>
    <row r="999" spans="1:9" ht="12.3">
      <c r="A999" s="868"/>
      <c r="B999" s="414"/>
      <c r="C999" s="868"/>
      <c r="D999" s="169"/>
      <c r="E999" s="869"/>
      <c r="F999" s="869"/>
      <c r="G999" s="869"/>
      <c r="H999" s="229"/>
      <c r="I999" s="229"/>
    </row>
    <row r="1000" spans="1:9" ht="12.3">
      <c r="A1000" s="233"/>
      <c r="B1000" s="529" t="s">
        <v>325</v>
      </c>
      <c r="C1000" s="868"/>
      <c r="D1000" s="938" t="s">
        <v>611</v>
      </c>
      <c r="E1000" s="938"/>
      <c r="F1000" s="938"/>
      <c r="G1000" s="869"/>
      <c r="H1000" s="229"/>
      <c r="I1000" s="229"/>
    </row>
    <row r="1001" spans="1:9" ht="12.3">
      <c r="A1001" s="868"/>
      <c r="B1001" s="868"/>
      <c r="C1001" s="868"/>
      <c r="D1001" s="938"/>
      <c r="E1001" s="938"/>
      <c r="F1001" s="938"/>
      <c r="G1001" s="869"/>
      <c r="H1001" s="229"/>
      <c r="I1001" s="229"/>
    </row>
    <row r="1002" spans="1:9" ht="12.3">
      <c r="A1002" s="868"/>
      <c r="B1002" s="868"/>
      <c r="C1002" s="868"/>
      <c r="D1002" s="938"/>
      <c r="E1002" s="938"/>
      <c r="F1002" s="938"/>
      <c r="G1002" s="869"/>
      <c r="H1002" s="229"/>
      <c r="I1002" s="229"/>
    </row>
    <row r="1003" spans="1:9" ht="12.3">
      <c r="A1003" s="868"/>
      <c r="B1003" s="868"/>
      <c r="C1003" s="868"/>
      <c r="D1003" s="938"/>
      <c r="E1003" s="938"/>
      <c r="F1003" s="938"/>
      <c r="G1003" s="869"/>
      <c r="H1003" s="229"/>
      <c r="I1003" s="229"/>
    </row>
    <row r="1004" spans="1:9" ht="12.3">
      <c r="A1004" s="868"/>
      <c r="B1004" s="868"/>
      <c r="C1004" s="868"/>
      <c r="D1004" s="938"/>
      <c r="E1004" s="938"/>
      <c r="F1004" s="938"/>
      <c r="G1004" s="869"/>
      <c r="H1004" s="229"/>
      <c r="I1004" s="229"/>
    </row>
    <row r="1005" spans="1:9" ht="12.3">
      <c r="A1005" s="868"/>
      <c r="B1005" s="868"/>
      <c r="C1005" s="868"/>
      <c r="D1005" s="37"/>
      <c r="E1005" s="37"/>
      <c r="F1005" s="37"/>
      <c r="G1005" s="869"/>
      <c r="H1005" s="229"/>
      <c r="I1005" s="229"/>
    </row>
    <row r="1006" spans="1:9" ht="12.3">
      <c r="A1006" s="233"/>
      <c r="B1006" s="529" t="s">
        <v>325</v>
      </c>
      <c r="C1006" s="868"/>
      <c r="D1006" s="938" t="s">
        <v>612</v>
      </c>
      <c r="E1006" s="938"/>
      <c r="F1006" s="938"/>
      <c r="G1006" s="869"/>
      <c r="H1006" s="229"/>
      <c r="I1006" s="229"/>
    </row>
    <row r="1007" spans="1:9" ht="12.3">
      <c r="A1007" s="868"/>
      <c r="B1007" s="868"/>
      <c r="C1007" s="868"/>
      <c r="D1007" s="938"/>
      <c r="E1007" s="938"/>
      <c r="F1007" s="938"/>
      <c r="G1007" s="869"/>
      <c r="H1007" s="229"/>
      <c r="I1007" s="229"/>
    </row>
    <row r="1008" spans="1:9" ht="12.3">
      <c r="A1008" s="868"/>
      <c r="B1008" s="868"/>
      <c r="C1008" s="868"/>
      <c r="D1008" s="938"/>
      <c r="E1008" s="938"/>
      <c r="F1008" s="938"/>
      <c r="G1008" s="869"/>
      <c r="H1008" s="229"/>
      <c r="I1008" s="229"/>
    </row>
    <row r="1009" spans="1:9" ht="12.3">
      <c r="A1009" s="868"/>
      <c r="B1009" s="868"/>
      <c r="C1009" s="868"/>
      <c r="D1009" s="938"/>
      <c r="E1009" s="938"/>
      <c r="F1009" s="938"/>
      <c r="G1009" s="869"/>
      <c r="H1009" s="229"/>
      <c r="I1009" s="229"/>
    </row>
    <row r="1010" spans="1:9" ht="12.3">
      <c r="A1010" s="868"/>
      <c r="B1010" s="868"/>
      <c r="C1010" s="868"/>
      <c r="D1010" s="938"/>
      <c r="E1010" s="938"/>
      <c r="F1010" s="938"/>
      <c r="G1010" s="869"/>
      <c r="H1010" s="229"/>
      <c r="I1010" s="229"/>
    </row>
    <row r="1011" spans="1:9" ht="12.3">
      <c r="A1011" s="868"/>
      <c r="B1011" s="868"/>
      <c r="C1011" s="868"/>
      <c r="D1011" s="869"/>
      <c r="E1011" s="869"/>
      <c r="F1011" s="869"/>
      <c r="G1011" s="869"/>
      <c r="H1011" s="229"/>
      <c r="I1011" s="229"/>
    </row>
    <row r="1012" spans="1:9" ht="12.3">
      <c r="A1012" s="868"/>
      <c r="B1012" s="868"/>
      <c r="C1012" s="868"/>
      <c r="D1012" s="965" t="s">
        <v>613</v>
      </c>
      <c r="E1012" s="965"/>
      <c r="F1012" s="965"/>
      <c r="G1012" s="869"/>
      <c r="H1012" s="229"/>
      <c r="I1012" s="229"/>
    </row>
    <row r="1013" spans="1:9" ht="12.3">
      <c r="A1013" s="868"/>
      <c r="B1013" s="868"/>
      <c r="C1013" s="868"/>
      <c r="D1013" s="169"/>
      <c r="E1013" s="869"/>
      <c r="F1013" s="869"/>
      <c r="G1013" s="869"/>
      <c r="H1013" s="229"/>
      <c r="I1013" s="229"/>
    </row>
    <row r="1014" spans="1:9" ht="12.3">
      <c r="A1014" s="233"/>
      <c r="B1014" s="529" t="s">
        <v>323</v>
      </c>
      <c r="C1014" s="868"/>
      <c r="D1014" s="938" t="s">
        <v>614</v>
      </c>
      <c r="E1014" s="938"/>
      <c r="F1014" s="938"/>
      <c r="G1014" s="869"/>
      <c r="H1014" s="229"/>
      <c r="I1014" s="229"/>
    </row>
    <row r="1015" spans="1:9" ht="12.3">
      <c r="A1015" s="868"/>
      <c r="B1015" s="868"/>
      <c r="C1015" s="868"/>
      <c r="D1015" s="938"/>
      <c r="E1015" s="938"/>
      <c r="F1015" s="938"/>
      <c r="G1015" s="869"/>
      <c r="H1015" s="229"/>
      <c r="I1015" s="229"/>
    </row>
    <row r="1016" spans="1:9" ht="12.3">
      <c r="A1016" s="868"/>
      <c r="B1016" s="868"/>
      <c r="C1016" s="868"/>
      <c r="D1016" s="938"/>
      <c r="E1016" s="938"/>
      <c r="F1016" s="938"/>
      <c r="G1016" s="869"/>
      <c r="H1016" s="229"/>
      <c r="I1016" s="229"/>
    </row>
    <row r="1017" spans="1:9" ht="12.3">
      <c r="A1017" s="868"/>
      <c r="B1017" s="868"/>
      <c r="C1017" s="868"/>
      <c r="D1017" s="37"/>
      <c r="E1017" s="37"/>
      <c r="F1017" s="37"/>
      <c r="G1017" s="869"/>
      <c r="H1017" s="229"/>
      <c r="I1017" s="229"/>
    </row>
    <row r="1018" spans="1:9" ht="12.3">
      <c r="A1018" s="233"/>
      <c r="B1018" s="529" t="s">
        <v>325</v>
      </c>
      <c r="C1018" s="868"/>
      <c r="D1018" s="938" t="s">
        <v>615</v>
      </c>
      <c r="E1018" s="938"/>
      <c r="F1018" s="938"/>
      <c r="G1018" s="869"/>
      <c r="H1018" s="229"/>
      <c r="I1018" s="229"/>
    </row>
    <row r="1019" spans="1:9" ht="12.3">
      <c r="A1019" s="868"/>
      <c r="B1019" s="868"/>
      <c r="C1019" s="868"/>
      <c r="D1019" s="938"/>
      <c r="E1019" s="938"/>
      <c r="F1019" s="938"/>
      <c r="G1019" s="869"/>
      <c r="H1019" s="229"/>
      <c r="I1019" s="229"/>
    </row>
    <row r="1020" spans="1:9" ht="12.3">
      <c r="A1020" s="868"/>
      <c r="B1020" s="868"/>
      <c r="C1020" s="868"/>
      <c r="D1020" s="938"/>
      <c r="E1020" s="938"/>
      <c r="F1020" s="938"/>
      <c r="G1020" s="869"/>
      <c r="H1020" s="229"/>
      <c r="I1020" s="229"/>
    </row>
    <row r="1021" spans="1:9" ht="12.3">
      <c r="A1021" s="868"/>
      <c r="B1021" s="868"/>
      <c r="C1021" s="868"/>
      <c r="D1021" s="232"/>
      <c r="E1021" s="869"/>
      <c r="F1021" s="869"/>
      <c r="G1021" s="869"/>
      <c r="H1021" s="229"/>
      <c r="I1021" s="229"/>
    </row>
    <row r="1022" spans="1:9" ht="12.3">
      <c r="A1022" s="868"/>
      <c r="B1022" s="868"/>
      <c r="C1022" s="868"/>
      <c r="D1022" s="965" t="s">
        <v>616</v>
      </c>
      <c r="E1022" s="965"/>
      <c r="F1022" s="965"/>
      <c r="G1022" s="869"/>
      <c r="H1022" s="229"/>
      <c r="I1022" s="229"/>
    </row>
    <row r="1023" spans="1:9" ht="12.3">
      <c r="A1023" s="868"/>
      <c r="B1023" s="868"/>
      <c r="C1023" s="868"/>
      <c r="D1023" s="169"/>
      <c r="E1023" s="869"/>
      <c r="F1023" s="869"/>
      <c r="G1023" s="869"/>
      <c r="H1023" s="229"/>
      <c r="I1023" s="229"/>
    </row>
    <row r="1024" spans="1:9" ht="14.25" customHeight="1">
      <c r="A1024" s="233"/>
      <c r="B1024" s="529" t="s">
        <v>323</v>
      </c>
      <c r="C1024" s="868"/>
      <c r="D1024" s="938" t="s">
        <v>617</v>
      </c>
      <c r="E1024" s="938"/>
      <c r="F1024" s="938"/>
      <c r="G1024" s="178"/>
      <c r="H1024" s="684"/>
      <c r="I1024" s="684"/>
    </row>
    <row r="1025" spans="1:9" ht="12.3">
      <c r="A1025" s="868"/>
      <c r="B1025" s="868"/>
      <c r="C1025" s="868"/>
      <c r="D1025" s="938"/>
      <c r="E1025" s="938"/>
      <c r="F1025" s="938"/>
      <c r="G1025" s="178"/>
      <c r="H1025" s="684"/>
      <c r="I1025" s="684"/>
    </row>
    <row r="1026" spans="1:9" ht="12.3">
      <c r="A1026" s="868"/>
      <c r="B1026" s="868"/>
      <c r="C1026" s="868"/>
      <c r="D1026" s="938"/>
      <c r="E1026" s="938"/>
      <c r="F1026" s="938"/>
      <c r="G1026" s="178"/>
      <c r="H1026" s="684"/>
      <c r="I1026" s="684"/>
    </row>
    <row r="1027" spans="1:9" ht="12" customHeight="1">
      <c r="A1027" s="868"/>
      <c r="B1027" s="868"/>
      <c r="C1027" s="868"/>
      <c r="D1027" s="684"/>
      <c r="E1027" s="684"/>
      <c r="F1027" s="684"/>
      <c r="G1027" s="684"/>
      <c r="H1027" s="684"/>
      <c r="I1027" s="684"/>
    </row>
    <row r="1028" spans="1:9" ht="12.75" customHeight="1">
      <c r="A1028" s="868"/>
      <c r="B1028" s="529" t="s">
        <v>325</v>
      </c>
      <c r="C1028" s="868"/>
      <c r="D1028" s="938" t="s">
        <v>618</v>
      </c>
      <c r="E1028" s="938"/>
      <c r="F1028" s="938"/>
      <c r="G1028" s="684"/>
      <c r="H1028" s="229"/>
      <c r="I1028" s="229"/>
    </row>
    <row r="1029" spans="1:9" ht="12.3">
      <c r="A1029" s="868"/>
      <c r="B1029" s="868"/>
      <c r="C1029" s="868"/>
      <c r="D1029" s="938"/>
      <c r="E1029" s="938"/>
      <c r="F1029" s="938"/>
      <c r="G1029" s="684"/>
      <c r="H1029" s="229"/>
      <c r="I1029" s="229"/>
    </row>
    <row r="1030" spans="1:9" ht="12.3">
      <c r="A1030" s="868"/>
      <c r="B1030" s="868"/>
      <c r="C1030" s="868"/>
      <c r="D1030" s="938"/>
      <c r="E1030" s="938"/>
      <c r="F1030" s="938"/>
      <c r="G1030" s="684"/>
      <c r="H1030" s="229"/>
      <c r="I1030" s="229"/>
    </row>
    <row r="1031" spans="1:9" ht="12" customHeight="1">
      <c r="A1031" s="868"/>
      <c r="B1031" s="868"/>
      <c r="C1031" s="868"/>
      <c r="D1031" s="232"/>
      <c r="E1031" s="869"/>
      <c r="F1031" s="869"/>
      <c r="G1031" s="869"/>
      <c r="H1031" s="229"/>
      <c r="I1031" s="229"/>
    </row>
    <row r="1032" spans="1:9" ht="12.75" customHeight="1">
      <c r="A1032" s="868"/>
      <c r="B1032" s="529" t="s">
        <v>325</v>
      </c>
      <c r="C1032" s="868"/>
      <c r="D1032" s="941" t="s">
        <v>619</v>
      </c>
      <c r="E1032" s="941"/>
      <c r="F1032" s="941"/>
      <c r="G1032" s="831"/>
      <c r="H1032" s="229"/>
      <c r="I1032" s="229"/>
    </row>
    <row r="1033" spans="1:9" ht="12.3">
      <c r="A1033" s="868"/>
      <c r="B1033" s="868"/>
      <c r="C1033" s="868"/>
      <c r="D1033" s="941"/>
      <c r="E1033" s="941"/>
      <c r="F1033" s="941"/>
      <c r="G1033" s="831"/>
      <c r="H1033" s="229"/>
      <c r="I1033" s="229"/>
    </row>
    <row r="1034" spans="1:9" ht="12.3">
      <c r="A1034" s="868"/>
      <c r="B1034" s="868"/>
      <c r="C1034" s="868"/>
      <c r="D1034" s="941"/>
      <c r="E1034" s="941"/>
      <c r="F1034" s="941"/>
      <c r="G1034" s="831"/>
      <c r="H1034" s="229"/>
      <c r="I1034" s="229"/>
    </row>
    <row r="1035" spans="1:9" ht="12" customHeight="1">
      <c r="A1035" s="868"/>
      <c r="B1035" s="868"/>
      <c r="C1035" s="868"/>
      <c r="D1035" s="869"/>
      <c r="E1035" s="869"/>
      <c r="F1035" s="869"/>
      <c r="G1035" s="869"/>
      <c r="H1035" s="229"/>
      <c r="I1035" s="229"/>
    </row>
    <row r="1036" spans="1:9" ht="12.75" customHeight="1">
      <c r="A1036" s="868"/>
      <c r="B1036" s="529" t="s">
        <v>325</v>
      </c>
      <c r="C1036" s="868"/>
      <c r="D1036" s="938" t="s">
        <v>620</v>
      </c>
      <c r="E1036" s="938"/>
      <c r="F1036" s="938"/>
      <c r="G1036" s="831"/>
      <c r="H1036" s="831"/>
      <c r="I1036" s="831"/>
    </row>
    <row r="1037" spans="1:9" ht="12.3">
      <c r="A1037" s="868"/>
      <c r="B1037" s="868"/>
      <c r="C1037" s="868"/>
      <c r="D1037" s="938"/>
      <c r="E1037" s="938"/>
      <c r="F1037" s="938"/>
      <c r="G1037" s="831"/>
      <c r="H1037" s="831"/>
      <c r="I1037" s="831"/>
    </row>
    <row r="1038" spans="1:9" ht="12.3">
      <c r="A1038" s="868"/>
      <c r="B1038" s="868"/>
      <c r="C1038" s="868"/>
      <c r="D1038" s="938"/>
      <c r="E1038" s="938"/>
      <c r="F1038" s="938"/>
      <c r="G1038" s="831"/>
      <c r="H1038" s="831"/>
      <c r="I1038" s="831"/>
    </row>
    <row r="1039" spans="1:9" ht="12.3">
      <c r="A1039" s="233"/>
      <c r="B1039" s="233"/>
      <c r="C1039" s="868"/>
      <c r="D1039" s="232"/>
      <c r="E1039" s="869"/>
      <c r="F1039" s="869"/>
      <c r="G1039" s="869"/>
      <c r="H1039" s="229"/>
      <c r="I1039" s="229"/>
    </row>
    <row r="1040" spans="1:9" ht="12.75" customHeight="1">
      <c r="A1040" s="868"/>
      <c r="B1040" s="529" t="s">
        <v>325</v>
      </c>
      <c r="C1040" s="868"/>
      <c r="D1040" s="938" t="s">
        <v>621</v>
      </c>
      <c r="E1040" s="938"/>
      <c r="F1040" s="938"/>
      <c r="G1040" s="831"/>
      <c r="H1040" s="831"/>
      <c r="I1040" s="831"/>
    </row>
    <row r="1041" spans="1:9" ht="12.3">
      <c r="A1041" s="868"/>
      <c r="B1041" s="868"/>
      <c r="C1041" s="868"/>
      <c r="D1041" s="938"/>
      <c r="E1041" s="938"/>
      <c r="F1041" s="938"/>
      <c r="G1041" s="831"/>
      <c r="H1041" s="831"/>
      <c r="I1041" s="831"/>
    </row>
    <row r="1042" spans="1:9" ht="12.3">
      <c r="A1042" s="868"/>
      <c r="B1042" s="868"/>
      <c r="C1042" s="868"/>
      <c r="D1042" s="938"/>
      <c r="E1042" s="938"/>
      <c r="F1042" s="938"/>
      <c r="G1042" s="831"/>
      <c r="H1042" s="831"/>
      <c r="I1042" s="831"/>
    </row>
    <row r="1043" spans="1:9" ht="12.3">
      <c r="A1043" s="868"/>
      <c r="B1043" s="868"/>
      <c r="C1043" s="868"/>
      <c r="D1043" s="232"/>
      <c r="E1043" s="869"/>
      <c r="F1043" s="869"/>
      <c r="G1043" s="869"/>
      <c r="H1043" s="229"/>
      <c r="I1043" s="229"/>
    </row>
    <row r="1044" spans="1:9" ht="12.75" customHeight="1">
      <c r="A1044" s="868"/>
      <c r="B1044" s="529" t="s">
        <v>325</v>
      </c>
      <c r="C1044" s="868"/>
      <c r="D1044" s="938" t="s">
        <v>622</v>
      </c>
      <c r="E1044" s="938"/>
      <c r="F1044" s="938"/>
      <c r="G1044" s="178"/>
      <c r="H1044" s="229"/>
      <c r="I1044" s="229"/>
    </row>
    <row r="1045" spans="1:9" ht="12.3">
      <c r="A1045" s="868"/>
      <c r="B1045" s="868"/>
      <c r="C1045" s="868"/>
      <c r="D1045" s="938"/>
      <c r="E1045" s="938"/>
      <c r="F1045" s="938"/>
      <c r="G1045" s="178"/>
      <c r="H1045" s="229"/>
      <c r="I1045" s="229"/>
    </row>
    <row r="1046" spans="1:9" ht="12.3">
      <c r="A1046" s="868"/>
      <c r="B1046" s="868"/>
      <c r="C1046" s="868"/>
      <c r="D1046" s="938"/>
      <c r="E1046" s="938"/>
      <c r="F1046" s="938"/>
      <c r="G1046" s="178"/>
      <c r="H1046" s="229"/>
      <c r="I1046" s="229"/>
    </row>
    <row r="1047" spans="1:9" ht="12.3">
      <c r="A1047" s="868"/>
      <c r="B1047" s="868"/>
      <c r="C1047" s="868"/>
      <c r="D1047" s="178"/>
      <c r="E1047" s="178"/>
      <c r="F1047" s="178"/>
      <c r="G1047" s="178"/>
      <c r="H1047" s="229"/>
      <c r="I1047" s="229"/>
    </row>
    <row r="1048" spans="1:9" ht="12.75" customHeight="1">
      <c r="A1048" s="868"/>
      <c r="B1048" s="529" t="s">
        <v>325</v>
      </c>
      <c r="C1048" s="868"/>
      <c r="D1048" s="938" t="s">
        <v>623</v>
      </c>
      <c r="E1048" s="938"/>
      <c r="F1048" s="938"/>
      <c r="G1048" s="178"/>
      <c r="H1048" s="229"/>
      <c r="I1048" s="229"/>
    </row>
    <row r="1049" spans="1:9" ht="12.3">
      <c r="A1049" s="868"/>
      <c r="B1049" s="868"/>
      <c r="C1049" s="868"/>
      <c r="D1049" s="938"/>
      <c r="E1049" s="938"/>
      <c r="F1049" s="938"/>
      <c r="G1049" s="178"/>
      <c r="H1049" s="229"/>
      <c r="I1049" s="229"/>
    </row>
    <row r="1050" spans="1:9" ht="12.3">
      <c r="A1050" s="868"/>
      <c r="B1050" s="868"/>
      <c r="C1050" s="868"/>
      <c r="D1050" s="938"/>
      <c r="E1050" s="938"/>
      <c r="F1050" s="938"/>
      <c r="G1050" s="178"/>
      <c r="H1050" s="229"/>
      <c r="I1050" s="229"/>
    </row>
    <row r="1051" spans="1:9" ht="12.3">
      <c r="A1051" s="868"/>
      <c r="B1051" s="868"/>
      <c r="C1051" s="868"/>
      <c r="D1051" s="258"/>
      <c r="E1051" s="258"/>
      <c r="F1051" s="258"/>
      <c r="G1051" s="258"/>
      <c r="H1051" s="229"/>
      <c r="I1051" s="229"/>
    </row>
    <row r="1052" spans="1:9" ht="12.75" customHeight="1">
      <c r="A1052" s="868"/>
      <c r="B1052" s="529" t="s">
        <v>323</v>
      </c>
      <c r="C1052" s="868"/>
      <c r="D1052" s="983" t="s">
        <v>624</v>
      </c>
      <c r="E1052" s="983"/>
      <c r="F1052" s="983"/>
      <c r="G1052" s="528"/>
      <c r="H1052" s="229"/>
      <c r="I1052" s="229"/>
    </row>
    <row r="1053" spans="1:9" ht="12.3">
      <c r="A1053" s="868"/>
      <c r="B1053" s="868"/>
      <c r="C1053" s="868"/>
      <c r="D1053" s="983"/>
      <c r="E1053" s="983"/>
      <c r="F1053" s="983"/>
      <c r="G1053" s="528"/>
      <c r="H1053" s="229"/>
      <c r="I1053" s="229"/>
    </row>
    <row r="1054" spans="1:9" ht="12.3">
      <c r="A1054" s="868"/>
      <c r="B1054" s="868"/>
      <c r="C1054" s="868"/>
      <c r="D1054" s="983"/>
      <c r="E1054" s="983"/>
      <c r="F1054" s="983"/>
      <c r="G1054" s="528"/>
      <c r="H1054" s="229"/>
      <c r="I1054" s="229"/>
    </row>
    <row r="1055" spans="1:9" ht="12.3">
      <c r="A1055" s="868"/>
      <c r="B1055" s="868"/>
      <c r="C1055" s="868"/>
      <c r="D1055" s="983"/>
      <c r="E1055" s="983"/>
      <c r="F1055" s="983"/>
      <c r="G1055" s="528"/>
      <c r="H1055" s="229"/>
      <c r="I1055" s="229"/>
    </row>
    <row r="1056" spans="1:9" ht="12.3">
      <c r="A1056" s="868"/>
      <c r="B1056" s="868"/>
      <c r="C1056" s="868"/>
      <c r="D1056" s="983"/>
      <c r="E1056" s="983"/>
      <c r="F1056" s="983"/>
      <c r="G1056" s="528"/>
      <c r="H1056" s="229"/>
      <c r="I1056" s="229"/>
    </row>
    <row r="1057" spans="1:9" ht="12.3">
      <c r="A1057" s="868"/>
      <c r="B1057" s="868"/>
      <c r="C1057" s="868"/>
      <c r="D1057" s="983"/>
      <c r="E1057" s="983"/>
      <c r="F1057" s="983"/>
      <c r="G1057" s="528"/>
      <c r="H1057" s="229"/>
      <c r="I1057" s="229"/>
    </row>
    <row r="1058" spans="1:9" ht="12.3">
      <c r="A1058" s="868"/>
      <c r="B1058" s="868"/>
      <c r="C1058" s="868"/>
      <c r="D1058" s="983"/>
      <c r="E1058" s="983"/>
      <c r="F1058" s="983"/>
      <c r="G1058" s="528"/>
      <c r="H1058" s="229"/>
      <c r="I1058" s="229"/>
    </row>
    <row r="1059" spans="1:9" ht="12.3">
      <c r="A1059" s="868"/>
      <c r="B1059" s="868"/>
      <c r="C1059" s="868"/>
      <c r="D1059" s="983"/>
      <c r="E1059" s="983"/>
      <c r="F1059" s="983"/>
      <c r="G1059" s="528"/>
      <c r="H1059" s="229"/>
      <c r="I1059" s="229"/>
    </row>
    <row r="1060" spans="1:9" ht="12.3">
      <c r="A1060" s="868"/>
      <c r="B1060" s="868"/>
      <c r="C1060" s="868"/>
      <c r="D1060" s="983"/>
      <c r="E1060" s="983"/>
      <c r="F1060" s="983"/>
      <c r="G1060" s="528"/>
      <c r="H1060" s="229"/>
      <c r="I1060" s="229"/>
    </row>
    <row r="1061" spans="1:9" ht="12.3">
      <c r="A1061" s="868"/>
      <c r="B1061" s="868"/>
      <c r="C1061" s="868"/>
      <c r="D1061" s="983"/>
      <c r="E1061" s="983"/>
      <c r="F1061" s="983"/>
      <c r="G1061" s="528"/>
      <c r="H1061" s="229"/>
      <c r="I1061" s="229"/>
    </row>
    <row r="1062" spans="1:9" ht="27.6" customHeight="1">
      <c r="A1062" s="868"/>
      <c r="B1062" s="868"/>
      <c r="C1062" s="868"/>
      <c r="D1062" s="983"/>
      <c r="E1062" s="983"/>
      <c r="F1062" s="983"/>
      <c r="G1062" s="528"/>
      <c r="H1062" s="229"/>
      <c r="I1062" s="229"/>
    </row>
    <row r="1063" spans="1:9" ht="12.3">
      <c r="A1063" s="868"/>
      <c r="B1063" s="868"/>
      <c r="C1063" s="868"/>
      <c r="D1063" s="856"/>
      <c r="E1063" s="856"/>
      <c r="F1063" s="856"/>
      <c r="G1063" s="856"/>
      <c r="H1063" s="229"/>
      <c r="I1063" s="229"/>
    </row>
    <row r="1064" spans="1:9" ht="12.75" customHeight="1">
      <c r="A1064" s="868"/>
      <c r="B1064" s="868"/>
      <c r="C1064" s="868"/>
      <c r="D1064" s="965" t="s">
        <v>625</v>
      </c>
      <c r="E1064" s="965"/>
      <c r="F1064" s="965"/>
      <c r="G1064" s="856"/>
      <c r="H1064" s="229"/>
      <c r="I1064" s="229"/>
    </row>
    <row r="1065" spans="1:9" ht="12.75" customHeight="1">
      <c r="A1065" s="868"/>
      <c r="B1065" s="868"/>
      <c r="C1065" s="868"/>
      <c r="D1065" s="169"/>
      <c r="E1065" s="856"/>
      <c r="F1065" s="856"/>
      <c r="G1065" s="856"/>
      <c r="H1065" s="229"/>
      <c r="I1065" s="229"/>
    </row>
    <row r="1066" spans="1:9" ht="12.3">
      <c r="A1066" s="233"/>
      <c r="B1066" s="529" t="s">
        <v>325</v>
      </c>
      <c r="C1066" s="868"/>
      <c r="D1066" s="938" t="s">
        <v>626</v>
      </c>
      <c r="E1066" s="938"/>
      <c r="F1066" s="938"/>
      <c r="G1066" s="869"/>
      <c r="H1066" s="229"/>
      <c r="I1066" s="229"/>
    </row>
    <row r="1067" spans="1:9" ht="12.3">
      <c r="A1067" s="868"/>
      <c r="B1067" s="868"/>
      <c r="C1067" s="868"/>
      <c r="D1067" s="938"/>
      <c r="E1067" s="938"/>
      <c r="F1067" s="938"/>
      <c r="G1067" s="869"/>
      <c r="H1067" s="229"/>
      <c r="I1067" s="229"/>
    </row>
    <row r="1068" spans="1:9" ht="12.3">
      <c r="A1068" s="868"/>
      <c r="B1068" s="868"/>
      <c r="C1068" s="868"/>
      <c r="D1068" s="938"/>
      <c r="E1068" s="938"/>
      <c r="F1068" s="938"/>
      <c r="G1068" s="869"/>
      <c r="H1068" s="229"/>
      <c r="I1068" s="229"/>
    </row>
    <row r="1069" spans="1:9" ht="12.3">
      <c r="A1069" s="868"/>
      <c r="B1069" s="868"/>
      <c r="C1069" s="868"/>
      <c r="D1069" s="938"/>
      <c r="E1069" s="938"/>
      <c r="F1069" s="938"/>
      <c r="G1069" s="869"/>
      <c r="H1069" s="229"/>
      <c r="I1069" s="229"/>
    </row>
    <row r="1070" spans="1:9" ht="12.3">
      <c r="A1070" s="868"/>
      <c r="B1070" s="868"/>
      <c r="C1070" s="868"/>
      <c r="D1070" s="869"/>
      <c r="E1070" s="869"/>
      <c r="F1070" s="869"/>
      <c r="G1070" s="869"/>
      <c r="H1070" s="229"/>
      <c r="I1070" s="229"/>
    </row>
    <row r="1071" spans="1:9" ht="12.3">
      <c r="A1071" s="233"/>
      <c r="B1071" s="529" t="s">
        <v>325</v>
      </c>
      <c r="C1071" s="868"/>
      <c r="D1071" s="938" t="s">
        <v>627</v>
      </c>
      <c r="E1071" s="938"/>
      <c r="F1071" s="938"/>
      <c r="G1071" s="869"/>
      <c r="H1071" s="229"/>
      <c r="I1071" s="229"/>
    </row>
    <row r="1072" spans="1:9" ht="12.3">
      <c r="A1072" s="868"/>
      <c r="B1072" s="868"/>
      <c r="C1072" s="868"/>
      <c r="D1072" s="938"/>
      <c r="E1072" s="938"/>
      <c r="F1072" s="938"/>
      <c r="G1072" s="869"/>
      <c r="H1072" s="229"/>
      <c r="I1072" s="229"/>
    </row>
    <row r="1073" spans="1:9" ht="12.3">
      <c r="A1073" s="868"/>
      <c r="B1073" s="868"/>
      <c r="C1073" s="868"/>
      <c r="D1073" s="938"/>
      <c r="E1073" s="938"/>
      <c r="F1073" s="938"/>
      <c r="G1073" s="869"/>
      <c r="H1073" s="229"/>
      <c r="I1073" s="229"/>
    </row>
    <row r="1074" spans="1:9" ht="12.3">
      <c r="A1074" s="868"/>
      <c r="B1074" s="868"/>
      <c r="C1074" s="868"/>
      <c r="D1074" s="938"/>
      <c r="E1074" s="938"/>
      <c r="F1074" s="938"/>
      <c r="G1074" s="869"/>
      <c r="H1074" s="229"/>
      <c r="I1074" s="229"/>
    </row>
    <row r="1075" spans="1:9" ht="12.3">
      <c r="A1075" s="868"/>
      <c r="B1075" s="868"/>
      <c r="C1075" s="868"/>
      <c r="D1075" s="869"/>
      <c r="E1075" s="869"/>
      <c r="F1075" s="869"/>
      <c r="G1075" s="869"/>
    </row>
    <row r="1076" spans="1:9" ht="12.3">
      <c r="A1076" s="868"/>
      <c r="B1076" s="529" t="s">
        <v>325</v>
      </c>
      <c r="C1076" s="868"/>
      <c r="D1076" s="991" t="s">
        <v>628</v>
      </c>
      <c r="E1076" s="991"/>
      <c r="F1076" s="991"/>
      <c r="G1076" s="869"/>
    </row>
    <row r="1077" spans="1:9" ht="12.3">
      <c r="A1077" s="868"/>
      <c r="B1077" s="868"/>
      <c r="C1077" s="868"/>
      <c r="D1077" s="991"/>
      <c r="E1077" s="991"/>
      <c r="F1077" s="991"/>
      <c r="G1077" s="869"/>
    </row>
    <row r="1078" spans="1:9" ht="12.3">
      <c r="A1078" s="868"/>
      <c r="B1078" s="868"/>
      <c r="C1078" s="868"/>
      <c r="D1078" s="991"/>
      <c r="E1078" s="991"/>
      <c r="F1078" s="991"/>
      <c r="G1078" s="869"/>
    </row>
    <row r="1079" spans="1:9" ht="12.3">
      <c r="A1079" s="868"/>
      <c r="B1079" s="868"/>
      <c r="C1079" s="868"/>
      <c r="D1079" s="869"/>
      <c r="E1079" s="869"/>
      <c r="F1079" s="869"/>
      <c r="G1079" s="869"/>
    </row>
    <row r="1080" spans="1:9" ht="12.3">
      <c r="A1080" s="233"/>
      <c r="B1080" s="529" t="s">
        <v>325</v>
      </c>
      <c r="C1080" s="360"/>
      <c r="D1080" s="992" t="s">
        <v>629</v>
      </c>
      <c r="E1080" s="992"/>
      <c r="F1080" s="992"/>
      <c r="G1080" s="378"/>
    </row>
    <row r="1081" spans="1:9" ht="12.3">
      <c r="A1081" s="360"/>
      <c r="B1081" s="360"/>
      <c r="C1081" s="360"/>
      <c r="D1081" s="992"/>
      <c r="E1081" s="992"/>
      <c r="F1081" s="992"/>
      <c r="G1081" s="378"/>
    </row>
    <row r="1082" spans="1:9" ht="12.3">
      <c r="A1082" s="360"/>
      <c r="B1082" s="360"/>
      <c r="C1082" s="360"/>
      <c r="D1082" s="992"/>
      <c r="E1082" s="992"/>
      <c r="F1082" s="992"/>
      <c r="G1082" s="378"/>
    </row>
    <row r="1083" spans="1:9" ht="12.3">
      <c r="A1083" s="868"/>
      <c r="B1083" s="868"/>
      <c r="C1083" s="868"/>
      <c r="D1083" s="869"/>
      <c r="E1083" s="869"/>
      <c r="F1083" s="869"/>
      <c r="G1083" s="869"/>
    </row>
    <row r="1084" spans="1:9" ht="12.3">
      <c r="A1084" s="414"/>
      <c r="B1084" s="414"/>
      <c r="C1084" s="868"/>
      <c r="D1084" s="965" t="s">
        <v>630</v>
      </c>
      <c r="E1084" s="965"/>
      <c r="F1084" s="965"/>
      <c r="G1084" s="869"/>
    </row>
    <row r="1085" spans="1:9" ht="12.3">
      <c r="A1085" s="414"/>
      <c r="B1085" s="414"/>
      <c r="C1085" s="868"/>
      <c r="D1085" s="169"/>
      <c r="E1085" s="869"/>
      <c r="F1085" s="869"/>
      <c r="G1085" s="869"/>
    </row>
    <row r="1086" spans="1:9" ht="12.3">
      <c r="A1086" s="868"/>
      <c r="B1086" s="529" t="s">
        <v>325</v>
      </c>
      <c r="C1086" s="868"/>
      <c r="D1086" s="938" t="s">
        <v>631</v>
      </c>
      <c r="E1086" s="938"/>
      <c r="F1086" s="938"/>
      <c r="G1086" s="869"/>
    </row>
    <row r="1087" spans="1:9" ht="12.3">
      <c r="A1087" s="868"/>
      <c r="B1087" s="868"/>
      <c r="C1087" s="868"/>
      <c r="D1087" s="938"/>
      <c r="E1087" s="938"/>
      <c r="F1087" s="938"/>
      <c r="G1087" s="869"/>
    </row>
    <row r="1088" spans="1:9" ht="12.3">
      <c r="A1088" s="868"/>
      <c r="B1088" s="868"/>
      <c r="C1088" s="868"/>
      <c r="D1088" s="938"/>
      <c r="E1088" s="938"/>
      <c r="F1088" s="938"/>
      <c r="G1088" s="869"/>
    </row>
    <row r="1089" spans="1:7" ht="12.3">
      <c r="A1089" s="868"/>
      <c r="B1089" s="868"/>
      <c r="C1089" s="868"/>
      <c r="D1089" s="869"/>
      <c r="E1089" s="869"/>
      <c r="F1089" s="869"/>
      <c r="G1089" s="869"/>
    </row>
    <row r="1090" spans="1:7" ht="12.3">
      <c r="A1090" s="233"/>
      <c r="B1090" s="529" t="s">
        <v>325</v>
      </c>
      <c r="C1090" s="868"/>
      <c r="D1090" s="938" t="s">
        <v>632</v>
      </c>
      <c r="E1090" s="938"/>
      <c r="F1090" s="938"/>
      <c r="G1090" s="869"/>
    </row>
    <row r="1091" spans="1:7" ht="12.3">
      <c r="A1091" s="868"/>
      <c r="B1091" s="868"/>
      <c r="C1091" s="868"/>
      <c r="D1091" s="938"/>
      <c r="E1091" s="938"/>
      <c r="F1091" s="938"/>
      <c r="G1091" s="869"/>
    </row>
    <row r="1092" spans="1:7" ht="12.3">
      <c r="A1092" s="868"/>
      <c r="B1092" s="868"/>
      <c r="C1092" s="868"/>
      <c r="D1092" s="938"/>
      <c r="E1092" s="938"/>
      <c r="F1092" s="938"/>
      <c r="G1092" s="869"/>
    </row>
    <row r="1093" spans="1:7" ht="12.3">
      <c r="A1093" s="868"/>
      <c r="B1093" s="868"/>
      <c r="C1093" s="868"/>
      <c r="D1093" s="869"/>
      <c r="E1093" s="869"/>
      <c r="F1093" s="869"/>
      <c r="G1093" s="869"/>
    </row>
    <row r="1094" spans="1:7" ht="12.3">
      <c r="A1094" s="868"/>
      <c r="B1094" s="868"/>
      <c r="C1094" s="868"/>
      <c r="D1094" s="965" t="s">
        <v>633</v>
      </c>
      <c r="E1094" s="965"/>
      <c r="F1094" s="965"/>
      <c r="G1094" s="869"/>
    </row>
    <row r="1095" spans="1:7" ht="12.3">
      <c r="A1095" s="868"/>
      <c r="B1095" s="868"/>
      <c r="C1095" s="868"/>
      <c r="D1095" s="960" t="s">
        <v>634</v>
      </c>
      <c r="E1095" s="960"/>
      <c r="F1095" s="960"/>
      <c r="G1095" s="869"/>
    </row>
    <row r="1096" spans="1:7" ht="12.3">
      <c r="A1096" s="868"/>
      <c r="B1096" s="868"/>
      <c r="C1096" s="868"/>
      <c r="D1096" s="350"/>
      <c r="E1096" s="869"/>
      <c r="F1096" s="869"/>
      <c r="G1096" s="869"/>
    </row>
    <row r="1097" spans="1:7" ht="12.3">
      <c r="A1097" s="233"/>
      <c r="B1097" s="529" t="s">
        <v>325</v>
      </c>
      <c r="C1097" s="868"/>
      <c r="D1097" s="938" t="s">
        <v>635</v>
      </c>
      <c r="E1097" s="938"/>
      <c r="F1097" s="938"/>
      <c r="G1097" s="869"/>
    </row>
    <row r="1098" spans="1:7" ht="12.3">
      <c r="A1098" s="868"/>
      <c r="B1098" s="868"/>
      <c r="C1098" s="868"/>
      <c r="D1098" s="938"/>
      <c r="E1098" s="938"/>
      <c r="F1098" s="938"/>
      <c r="G1098" s="869"/>
    </row>
    <row r="1099" spans="1:7" ht="12.3">
      <c r="A1099" s="868"/>
      <c r="B1099" s="868"/>
      <c r="C1099" s="868"/>
      <c r="D1099" s="869"/>
      <c r="E1099" s="869"/>
      <c r="F1099" s="869"/>
      <c r="G1099" s="869"/>
    </row>
    <row r="1100" spans="1:7" ht="12.3">
      <c r="A1100" s="233"/>
      <c r="B1100" s="529" t="s">
        <v>325</v>
      </c>
      <c r="C1100" s="868"/>
      <c r="D1100" s="938" t="s">
        <v>636</v>
      </c>
      <c r="E1100" s="938"/>
      <c r="F1100" s="938"/>
      <c r="G1100" s="869"/>
    </row>
    <row r="1101" spans="1:7" ht="12.3">
      <c r="A1101" s="868"/>
      <c r="B1101" s="868"/>
      <c r="C1101" s="868"/>
      <c r="D1101" s="938"/>
      <c r="E1101" s="938"/>
      <c r="F1101" s="938"/>
      <c r="G1101" s="869"/>
    </row>
    <row r="1102" spans="1:7" ht="12.3">
      <c r="A1102" s="868"/>
      <c r="B1102" s="868"/>
      <c r="C1102" s="868"/>
      <c r="D1102" s="37"/>
      <c r="E1102" s="869"/>
      <c r="F1102" s="869"/>
      <c r="G1102" s="869"/>
    </row>
    <row r="1103" spans="1:7" ht="12.3">
      <c r="A1103" s="868"/>
      <c r="B1103" s="868"/>
      <c r="C1103" s="868"/>
      <c r="D1103" s="965" t="s">
        <v>637</v>
      </c>
      <c r="E1103" s="965"/>
      <c r="F1103" s="965"/>
      <c r="G1103" s="869"/>
    </row>
    <row r="1104" spans="1:7" ht="12.3">
      <c r="A1104" s="868"/>
      <c r="B1104" s="868"/>
      <c r="C1104" s="868"/>
      <c r="D1104" s="169"/>
      <c r="E1104" s="869"/>
      <c r="F1104" s="869"/>
      <c r="G1104" s="869"/>
    </row>
    <row r="1105" spans="1:7" ht="12.3">
      <c r="A1105" s="233"/>
      <c r="B1105" s="529" t="s">
        <v>325</v>
      </c>
      <c r="C1105" s="868"/>
      <c r="D1105" s="938" t="s">
        <v>638</v>
      </c>
      <c r="E1105" s="938"/>
      <c r="F1105" s="938"/>
      <c r="G1105" s="869"/>
    </row>
    <row r="1106" spans="1:7" ht="12.3">
      <c r="A1106" s="868"/>
      <c r="B1106" s="868"/>
      <c r="C1106" s="868"/>
      <c r="D1106" s="938"/>
      <c r="E1106" s="938"/>
      <c r="F1106" s="938"/>
      <c r="G1106" s="869"/>
    </row>
    <row r="1107" spans="1:7" ht="12.3">
      <c r="A1107" s="868"/>
      <c r="B1107" s="868"/>
      <c r="C1107" s="868"/>
      <c r="D1107" s="938"/>
      <c r="E1107" s="938"/>
      <c r="F1107" s="938"/>
      <c r="G1107" s="869"/>
    </row>
    <row r="1108" spans="1:7" ht="12.3">
      <c r="A1108" s="868"/>
      <c r="B1108" s="868"/>
      <c r="C1108" s="868"/>
      <c r="D1108" s="938"/>
      <c r="E1108" s="938"/>
      <c r="F1108" s="938"/>
      <c r="G1108" s="869"/>
    </row>
    <row r="1109" spans="1:7" ht="12.3">
      <c r="A1109" s="868"/>
      <c r="B1109" s="868"/>
      <c r="C1109" s="868"/>
      <c r="D1109" s="938"/>
      <c r="E1109" s="938"/>
      <c r="F1109" s="938"/>
      <c r="G1109" s="869"/>
    </row>
    <row r="1110" spans="1:7" ht="12.3">
      <c r="A1110" s="868"/>
      <c r="B1110" s="868"/>
      <c r="C1110" s="868"/>
      <c r="D1110" s="938"/>
      <c r="E1110" s="938"/>
      <c r="F1110" s="938"/>
      <c r="G1110" s="869"/>
    </row>
    <row r="1111" spans="1:7" ht="12.3">
      <c r="A1111" s="868"/>
      <c r="B1111" s="868"/>
      <c r="C1111" s="868"/>
      <c r="D1111" s="938"/>
      <c r="E1111" s="938"/>
      <c r="F1111" s="938"/>
      <c r="G1111" s="869"/>
    </row>
    <row r="1112" spans="1:7" ht="12.3">
      <c r="A1112" s="868"/>
      <c r="B1112" s="868"/>
      <c r="C1112" s="868"/>
      <c r="D1112" s="869"/>
      <c r="E1112" s="869"/>
      <c r="F1112" s="869"/>
      <c r="G1112" s="869"/>
    </row>
    <row r="1113" spans="1:7" ht="12.3">
      <c r="A1113" s="233"/>
      <c r="B1113" s="529" t="s">
        <v>325</v>
      </c>
      <c r="C1113" s="868"/>
      <c r="D1113" s="938" t="s">
        <v>639</v>
      </c>
      <c r="E1113" s="938"/>
      <c r="F1113" s="938"/>
      <c r="G1113" s="869"/>
    </row>
    <row r="1114" spans="1:7" ht="12.3">
      <c r="A1114" s="868"/>
      <c r="B1114" s="868"/>
      <c r="C1114" s="868"/>
      <c r="D1114" s="938"/>
      <c r="E1114" s="938"/>
      <c r="F1114" s="938"/>
      <c r="G1114" s="869"/>
    </row>
    <row r="1115" spans="1:7" ht="12.3">
      <c r="A1115" s="868"/>
      <c r="B1115" s="868"/>
      <c r="C1115" s="868"/>
      <c r="D1115" s="938"/>
      <c r="E1115" s="938"/>
      <c r="F1115" s="938"/>
      <c r="G1115" s="869"/>
    </row>
    <row r="1116" spans="1:7" ht="12.3">
      <c r="A1116" s="868"/>
      <c r="B1116" s="868"/>
      <c r="C1116" s="868"/>
      <c r="D1116" s="938"/>
      <c r="E1116" s="938"/>
      <c r="F1116" s="938"/>
      <c r="G1116" s="869"/>
    </row>
    <row r="1117" spans="1:7" ht="12.3">
      <c r="A1117" s="868"/>
      <c r="B1117" s="868"/>
      <c r="C1117" s="868"/>
      <c r="D1117" s="938"/>
      <c r="E1117" s="938"/>
      <c r="F1117" s="938"/>
      <c r="G1117" s="869"/>
    </row>
    <row r="1118" spans="1:7" ht="12.3">
      <c r="A1118" s="868"/>
      <c r="B1118" s="868"/>
      <c r="C1118" s="868"/>
      <c r="D1118" s="938"/>
      <c r="E1118" s="938"/>
      <c r="F1118" s="938"/>
      <c r="G1118" s="869"/>
    </row>
    <row r="1119" spans="1:7" ht="12.3">
      <c r="A1119" s="868"/>
      <c r="B1119" s="868"/>
      <c r="C1119" s="868"/>
      <c r="D1119" s="938"/>
      <c r="E1119" s="938"/>
      <c r="F1119" s="938"/>
      <c r="G1119" s="869"/>
    </row>
    <row r="1120" spans="1:7" ht="12.3">
      <c r="A1120" s="868"/>
      <c r="B1120" s="868"/>
      <c r="C1120" s="868"/>
      <c r="D1120" s="178"/>
      <c r="E1120" s="178"/>
      <c r="F1120" s="178"/>
      <c r="G1120" s="869"/>
    </row>
    <row r="1121" spans="1:7" ht="12.6" customHeight="1">
      <c r="A1121" s="868"/>
      <c r="B1121" s="529" t="s">
        <v>325</v>
      </c>
      <c r="C1121" s="868"/>
      <c r="D1121" s="991" t="s">
        <v>640</v>
      </c>
      <c r="E1121" s="991"/>
      <c r="F1121" s="991"/>
      <c r="G1121" s="869"/>
    </row>
    <row r="1122" spans="1:7" ht="12.6" customHeight="1">
      <c r="A1122" s="868"/>
      <c r="B1122" s="868"/>
      <c r="C1122" s="868"/>
      <c r="D1122" s="991"/>
      <c r="E1122" s="991"/>
      <c r="F1122" s="991"/>
      <c r="G1122" s="869"/>
    </row>
    <row r="1123" spans="1:7" ht="12.3">
      <c r="A1123" s="868"/>
      <c r="B1123" s="868"/>
      <c r="C1123" s="868"/>
      <c r="D1123" s="991"/>
      <c r="E1123" s="991"/>
      <c r="F1123" s="991"/>
      <c r="G1123" s="869"/>
    </row>
    <row r="1124" spans="1:7" ht="12.3">
      <c r="A1124" s="868"/>
      <c r="B1124" s="868"/>
      <c r="C1124" s="868"/>
      <c r="D1124" s="857"/>
      <c r="E1124" s="857"/>
      <c r="F1124" s="857"/>
      <c r="G1124" s="869"/>
    </row>
    <row r="1125" spans="1:7" ht="12.3">
      <c r="A1125" s="414"/>
      <c r="B1125" s="414"/>
      <c r="C1125" s="414"/>
      <c r="D1125" s="965" t="s">
        <v>641</v>
      </c>
      <c r="E1125" s="965"/>
      <c r="F1125" s="965"/>
      <c r="G1125" s="37"/>
    </row>
    <row r="1126" spans="1:7" ht="12.3">
      <c r="A1126" s="414"/>
      <c r="B1126" s="414"/>
      <c r="C1126" s="414"/>
      <c r="D1126" s="169"/>
      <c r="E1126" s="37"/>
      <c r="F1126" s="37"/>
      <c r="G1126" s="37"/>
    </row>
    <row r="1127" spans="1:7" ht="12.3">
      <c r="A1127" s="233"/>
      <c r="B1127" s="529" t="s">
        <v>323</v>
      </c>
      <c r="C1127" s="414"/>
      <c r="D1127" s="938" t="s">
        <v>642</v>
      </c>
      <c r="E1127" s="938"/>
      <c r="F1127" s="938"/>
      <c r="G1127" s="37"/>
    </row>
    <row r="1128" spans="1:7" ht="12.3">
      <c r="A1128" s="414"/>
      <c r="B1128" s="414"/>
      <c r="C1128" s="414"/>
      <c r="D1128" s="938"/>
      <c r="E1128" s="938"/>
      <c r="F1128" s="938"/>
      <c r="G1128" s="37"/>
    </row>
    <row r="1129" spans="1:7" ht="12.3">
      <c r="A1129" s="414"/>
      <c r="B1129" s="414"/>
      <c r="C1129" s="414"/>
      <c r="D1129" s="37"/>
      <c r="E1129" s="37"/>
      <c r="F1129" s="37"/>
      <c r="G1129" s="37"/>
    </row>
    <row r="1130" spans="1:7" ht="12.3">
      <c r="A1130" s="233"/>
      <c r="B1130" s="529" t="s">
        <v>325</v>
      </c>
      <c r="C1130" s="414"/>
      <c r="D1130" s="938" t="s">
        <v>643</v>
      </c>
      <c r="E1130" s="938"/>
      <c r="F1130" s="938"/>
      <c r="G1130" s="37"/>
    </row>
    <row r="1131" spans="1:7" ht="12.3">
      <c r="A1131" s="414"/>
      <c r="B1131" s="414"/>
      <c r="C1131" s="414"/>
      <c r="D1131" s="938"/>
      <c r="E1131" s="938"/>
      <c r="F1131" s="938"/>
      <c r="G1131" s="37"/>
    </row>
    <row r="1132" spans="1:7" ht="12.3">
      <c r="A1132" s="414"/>
      <c r="B1132" s="414"/>
      <c r="C1132" s="414"/>
      <c r="D1132" s="37"/>
      <c r="E1132" s="37"/>
      <c r="F1132" s="37"/>
      <c r="G1132" s="37"/>
    </row>
    <row r="1133" spans="1:7" ht="12.3">
      <c r="A1133" s="414"/>
      <c r="B1133" s="414"/>
      <c r="C1133" s="414"/>
      <c r="D1133" s="965" t="s">
        <v>644</v>
      </c>
      <c r="E1133" s="965"/>
      <c r="F1133" s="965"/>
      <c r="G1133" s="37"/>
    </row>
    <row r="1134" spans="1:7" ht="12.3">
      <c r="A1134" s="414"/>
      <c r="B1134" s="414"/>
      <c r="C1134" s="414"/>
      <c r="D1134" s="169"/>
      <c r="E1134" s="37"/>
      <c r="F1134" s="37"/>
      <c r="G1134" s="37"/>
    </row>
    <row r="1135" spans="1:7" ht="12.3">
      <c r="A1135" s="233"/>
      <c r="B1135" s="529" t="s">
        <v>323</v>
      </c>
      <c r="C1135" s="414"/>
      <c r="D1135" s="960" t="s">
        <v>645</v>
      </c>
      <c r="E1135" s="960"/>
      <c r="F1135" s="960"/>
      <c r="G1135" s="37"/>
    </row>
    <row r="1136" spans="1:7" ht="12.3">
      <c r="A1136" s="414"/>
      <c r="B1136" s="414"/>
      <c r="C1136" s="414"/>
      <c r="D1136" s="37"/>
      <c r="E1136" s="37"/>
      <c r="F1136" s="37"/>
      <c r="G1136" s="37"/>
    </row>
    <row r="1137" spans="1:7" ht="12.3">
      <c r="A1137" s="233"/>
      <c r="B1137" s="529" t="s">
        <v>323</v>
      </c>
      <c r="C1137" s="414"/>
      <c r="D1137" s="938" t="s">
        <v>646</v>
      </c>
      <c r="E1137" s="938"/>
      <c r="F1137" s="938"/>
      <c r="G1137" s="37"/>
    </row>
    <row r="1138" spans="1:7" ht="12.3">
      <c r="A1138" s="233"/>
      <c r="B1138" s="233"/>
      <c r="C1138" s="414"/>
      <c r="D1138" s="938"/>
      <c r="E1138" s="938"/>
      <c r="F1138" s="938"/>
      <c r="G1138" s="37"/>
    </row>
    <row r="1139" spans="1:7" ht="12.3">
      <c r="A1139" s="233"/>
      <c r="B1139" s="233"/>
      <c r="C1139" s="414"/>
      <c r="D1139" s="178"/>
      <c r="E1139" s="178"/>
      <c r="F1139" s="178"/>
      <c r="G1139"/>
    </row>
    <row r="1140" spans="1:7" ht="12.3">
      <c r="A1140" s="414"/>
      <c r="B1140" s="414"/>
      <c r="C1140" s="414"/>
      <c r="D1140" s="965" t="s">
        <v>647</v>
      </c>
      <c r="E1140" s="965"/>
      <c r="F1140" s="965"/>
      <c r="G1140"/>
    </row>
    <row r="1141" spans="1:7" ht="12.3">
      <c r="A1141" s="414"/>
      <c r="B1141" s="414"/>
      <c r="C1141" s="414"/>
      <c r="D1141" s="169"/>
      <c r="E1141" s="37"/>
      <c r="F1141" s="37"/>
      <c r="G1141"/>
    </row>
    <row r="1142" spans="1:7" ht="14.85" customHeight="1">
      <c r="A1142" s="233"/>
      <c r="B1142" s="529" t="s">
        <v>325</v>
      </c>
      <c r="C1142" s="414"/>
      <c r="D1142" s="938" t="s">
        <v>648</v>
      </c>
      <c r="E1142" s="938"/>
      <c r="F1142" s="938"/>
      <c r="G1142"/>
    </row>
    <row r="1143" spans="1:7" ht="12.3">
      <c r="A1143" s="233"/>
      <c r="B1143" s="233"/>
      <c r="C1143" s="414"/>
      <c r="D1143" s="938"/>
      <c r="E1143" s="938"/>
      <c r="F1143" s="938"/>
      <c r="G1143"/>
    </row>
    <row r="1144" spans="1:7" ht="12.3">
      <c r="A1144" s="233"/>
      <c r="B1144" s="233"/>
      <c r="C1144" s="414"/>
      <c r="D1144" s="938"/>
      <c r="E1144" s="938"/>
      <c r="F1144" s="938"/>
      <c r="G1144"/>
    </row>
    <row r="1145" spans="1:7" ht="12.3">
      <c r="A1145" s="233"/>
      <c r="B1145" s="233"/>
      <c r="C1145" s="414"/>
      <c r="D1145" s="938"/>
      <c r="E1145" s="938"/>
      <c r="F1145" s="938"/>
      <c r="G1145"/>
    </row>
    <row r="1146" spans="1:7" ht="12.3">
      <c r="A1146" s="233"/>
      <c r="B1146" s="233"/>
      <c r="C1146" s="414"/>
      <c r="D1146" s="938"/>
      <c r="E1146" s="938"/>
      <c r="F1146" s="938"/>
      <c r="G1146"/>
    </row>
    <row r="1147" spans="1:7" ht="12.3">
      <c r="A1147" s="233"/>
      <c r="B1147" s="233"/>
      <c r="C1147" s="414"/>
      <c r="D1147" s="938"/>
      <c r="E1147" s="938"/>
      <c r="F1147" s="938"/>
      <c r="G1147"/>
    </row>
    <row r="1148" spans="1:7" ht="12.3">
      <c r="A1148" s="233"/>
      <c r="B1148" s="233"/>
      <c r="C1148" s="414"/>
      <c r="D1148" s="938"/>
      <c r="E1148" s="938"/>
      <c r="F1148" s="938"/>
      <c r="G1148"/>
    </row>
    <row r="1149" spans="1:7" ht="12.3">
      <c r="A1149" s="233"/>
      <c r="B1149" s="233"/>
      <c r="C1149" s="414"/>
      <c r="D1149" s="938"/>
      <c r="E1149" s="938"/>
      <c r="F1149" s="938"/>
      <c r="G1149"/>
    </row>
    <row r="1150" spans="1:7" ht="12.3">
      <c r="A1150" s="233"/>
      <c r="B1150" s="233"/>
      <c r="C1150" s="414"/>
      <c r="D1150" s="938"/>
      <c r="E1150" s="938"/>
      <c r="F1150" s="938"/>
      <c r="G1150"/>
    </row>
    <row r="1151" spans="1:7" ht="12.3">
      <c r="A1151" s="233"/>
      <c r="B1151" s="233"/>
      <c r="C1151" s="414"/>
      <c r="D1151" s="938"/>
      <c r="E1151" s="938"/>
      <c r="F1151" s="938"/>
      <c r="G1151"/>
    </row>
    <row r="1152" spans="1:7" ht="12.3">
      <c r="A1152" s="233"/>
      <c r="B1152" s="233"/>
      <c r="C1152" s="414"/>
      <c r="D1152" s="938"/>
      <c r="E1152" s="938"/>
      <c r="F1152" s="938"/>
      <c r="G1152"/>
    </row>
    <row r="1153" spans="1:7" ht="12.3">
      <c r="A1153" s="233"/>
      <c r="B1153" s="233"/>
      <c r="C1153" s="414"/>
      <c r="D1153" s="938"/>
      <c r="E1153" s="938"/>
      <c r="F1153" s="938"/>
      <c r="G1153"/>
    </row>
    <row r="1154" spans="1:7" ht="12.3">
      <c r="A1154" s="233"/>
      <c r="B1154" s="233"/>
      <c r="C1154" s="414"/>
      <c r="D1154" s="938"/>
      <c r="E1154" s="938"/>
      <c r="F1154" s="938"/>
      <c r="G1154"/>
    </row>
    <row r="1155" spans="1:7" ht="38.25" customHeight="1">
      <c r="A1155" s="233"/>
      <c r="B1155" s="233"/>
      <c r="C1155" s="414"/>
      <c r="D1155" s="938"/>
      <c r="E1155" s="938"/>
      <c r="F1155" s="938"/>
      <c r="G1155" s="37"/>
    </row>
    <row r="1156" spans="1:7" ht="12.3">
      <c r="A1156" s="414"/>
      <c r="B1156" s="414"/>
      <c r="C1156" s="414"/>
      <c r="D1156" s="37"/>
      <c r="E1156" s="37"/>
      <c r="F1156" s="37"/>
      <c r="G1156" s="37"/>
    </row>
    <row r="1157" spans="1:7" ht="12.3">
      <c r="A1157" s="964" t="s">
        <v>649</v>
      </c>
      <c r="B1157" s="964"/>
      <c r="C1157" s="964"/>
      <c r="D1157" s="964"/>
      <c r="E1157" s="964"/>
      <c r="F1157" s="964"/>
      <c r="G1157" s="964"/>
    </row>
    <row r="1158" spans="1:7" ht="12.3">
      <c r="A1158" s="232"/>
      <c r="B1158" s="232"/>
      <c r="C1158" s="414"/>
      <c r="D1158" s="37"/>
      <c r="E1158" s="37"/>
      <c r="F1158" s="37"/>
      <c r="G1158" s="37"/>
    </row>
    <row r="1159" spans="1:7" ht="12.3">
      <c r="A1159" s="414"/>
      <c r="B1159" s="414"/>
      <c r="C1159" s="868"/>
      <c r="D1159" s="965" t="s">
        <v>650</v>
      </c>
      <c r="E1159" s="965"/>
      <c r="F1159" s="965"/>
      <c r="G1159" s="37"/>
    </row>
    <row r="1160" spans="1:7" ht="12.3">
      <c r="A1160" s="167"/>
      <c r="B1160" s="167"/>
      <c r="C1160" s="167"/>
      <c r="D1160" s="960" t="s">
        <v>651</v>
      </c>
      <c r="E1160" s="960"/>
      <c r="F1160" s="960"/>
      <c r="G1160" s="37"/>
    </row>
    <row r="1161" spans="1:7" ht="12.3">
      <c r="A1161" s="167"/>
      <c r="B1161" s="167"/>
      <c r="C1161" s="167"/>
      <c r="D1161" s="37"/>
      <c r="E1161" s="37"/>
      <c r="F1161" s="869"/>
      <c r="G1161"/>
    </row>
    <row r="1162" spans="1:7" ht="14.1" customHeight="1">
      <c r="A1162" s="414"/>
      <c r="B1162" s="529" t="s">
        <v>323</v>
      </c>
      <c r="C1162" s="414"/>
      <c r="D1162" s="958" t="s">
        <v>652</v>
      </c>
      <c r="E1162" s="958"/>
      <c r="F1162" s="958"/>
      <c r="G1162"/>
    </row>
    <row r="1163" spans="1:7" ht="12.3">
      <c r="A1163" s="414"/>
      <c r="B1163" s="414"/>
      <c r="C1163" s="414"/>
      <c r="D1163" s="958"/>
      <c r="E1163" s="958"/>
      <c r="F1163" s="958"/>
      <c r="G1163"/>
    </row>
    <row r="1164" spans="1:7" ht="12.3">
      <c r="A1164" s="414"/>
      <c r="B1164" s="414"/>
      <c r="C1164" s="414"/>
      <c r="D1164" s="15"/>
      <c r="E1164" s="832" t="s">
        <v>653</v>
      </c>
      <c r="F1164" s="15"/>
      <c r="G1164"/>
    </row>
    <row r="1165" spans="1:7" ht="12.3">
      <c r="A1165" s="414"/>
      <c r="B1165" s="414"/>
      <c r="C1165" s="414"/>
      <c r="D1165" s="15"/>
      <c r="E1165" s="15"/>
      <c r="F1165" s="15"/>
      <c r="G1165"/>
    </row>
    <row r="1166" spans="1:7" ht="12.3">
      <c r="A1166" s="414"/>
      <c r="B1166" s="414"/>
      <c r="C1166" s="414"/>
      <c r="D1166" s="955" t="s">
        <v>654</v>
      </c>
      <c r="E1166" s="955"/>
      <c r="F1166" s="955"/>
      <c r="G1166"/>
    </row>
    <row r="1167" spans="1:7" ht="12.3">
      <c r="A1167" s="168"/>
      <c r="B1167" s="168"/>
      <c r="C1167" s="168"/>
      <c r="D1167" s="955"/>
      <c r="E1167" s="955"/>
      <c r="F1167" s="955"/>
      <c r="G1167"/>
    </row>
    <row r="1168" spans="1:7" ht="14.85" customHeight="1">
      <c r="A1168" s="168"/>
      <c r="B1168" s="168"/>
      <c r="C1168" s="168"/>
      <c r="D1168" s="955"/>
      <c r="E1168" s="955"/>
      <c r="F1168" s="955"/>
      <c r="G1168"/>
    </row>
    <row r="1169" spans="1:7" ht="12.3">
      <c r="A1169" s="168"/>
      <c r="B1169" s="168"/>
      <c r="C1169" s="168"/>
      <c r="D1169" s="86"/>
      <c r="E1169" s="86"/>
      <c r="F1169" s="86"/>
      <c r="G1169"/>
    </row>
    <row r="1170" spans="1:7" ht="12.3">
      <c r="A1170" s="168"/>
      <c r="B1170" s="529" t="s">
        <v>323</v>
      </c>
      <c r="C1170" s="168"/>
      <c r="D1170" s="938" t="s">
        <v>655</v>
      </c>
      <c r="E1170" s="938"/>
      <c r="F1170" s="938"/>
      <c r="G1170"/>
    </row>
    <row r="1171" spans="1:7" ht="12.3">
      <c r="A1171" s="168"/>
      <c r="B1171" s="168"/>
      <c r="C1171" s="168"/>
      <c r="D1171" s="938"/>
      <c r="E1171" s="938"/>
      <c r="F1171" s="938"/>
      <c r="G1171"/>
    </row>
    <row r="1172" spans="1:7" ht="12.3">
      <c r="A1172" s="168"/>
      <c r="B1172" s="168"/>
      <c r="C1172" s="168"/>
      <c r="D1172" s="938"/>
      <c r="E1172" s="938"/>
      <c r="F1172" s="938"/>
      <c r="G1172"/>
    </row>
    <row r="1173" spans="1:7" ht="12.3">
      <c r="A1173" s="168"/>
      <c r="B1173" s="168"/>
      <c r="C1173" s="168"/>
      <c r="D1173" s="938"/>
      <c r="E1173" s="938"/>
      <c r="F1173" s="938"/>
      <c r="G1173"/>
    </row>
    <row r="1174" spans="1:7" ht="12.3">
      <c r="A1174" s="168"/>
      <c r="B1174" s="168"/>
      <c r="C1174" s="168"/>
      <c r="D1174" s="178"/>
      <c r="E1174" s="178"/>
      <c r="F1174" s="178"/>
      <c r="G1174"/>
    </row>
    <row r="1175" spans="1:7" ht="12.3">
      <c r="A1175" s="168"/>
      <c r="B1175" s="529" t="s">
        <v>325</v>
      </c>
      <c r="C1175" s="168"/>
      <c r="D1175" s="938" t="s">
        <v>656</v>
      </c>
      <c r="E1175" s="938"/>
      <c r="F1175" s="938"/>
      <c r="G1175"/>
    </row>
    <row r="1176" spans="1:7" ht="12.3">
      <c r="A1176" s="168"/>
      <c r="B1176" s="168"/>
      <c r="C1176" s="168"/>
      <c r="D1176" s="938"/>
      <c r="E1176" s="938"/>
      <c r="F1176" s="938"/>
      <c r="G1176"/>
    </row>
    <row r="1177" spans="1:7" ht="12.3">
      <c r="A1177" s="168"/>
      <c r="B1177" s="168"/>
      <c r="C1177" s="168"/>
      <c r="D1177" s="178"/>
      <c r="E1177" s="178"/>
      <c r="F1177" s="178"/>
      <c r="G1177"/>
    </row>
    <row r="1178" spans="1:7" ht="12.3">
      <c r="A1178" s="233"/>
      <c r="B1178" s="529" t="s">
        <v>323</v>
      </c>
      <c r="C1178" s="414"/>
      <c r="D1178" s="960" t="s">
        <v>657</v>
      </c>
      <c r="E1178" s="960"/>
      <c r="F1178" s="960"/>
      <c r="G1178"/>
    </row>
    <row r="1179" spans="1:7" ht="12.3">
      <c r="A1179" s="414"/>
      <c r="B1179" s="414"/>
      <c r="C1179" s="414"/>
      <c r="D1179" s="37"/>
      <c r="E1179" s="37"/>
      <c r="F1179" s="37"/>
      <c r="G1179"/>
    </row>
    <row r="1180" spans="1:7" ht="12.3">
      <c r="A1180" s="233"/>
      <c r="B1180" s="529" t="s">
        <v>323</v>
      </c>
      <c r="C1180" s="414"/>
      <c r="D1180" s="960" t="s">
        <v>658</v>
      </c>
      <c r="E1180" s="960"/>
      <c r="F1180" s="960"/>
      <c r="G1180"/>
    </row>
    <row r="1181" spans="1:7" ht="12.3">
      <c r="A1181" s="414"/>
      <c r="B1181" s="414"/>
      <c r="C1181" s="414"/>
      <c r="D1181" s="232"/>
      <c r="E1181" s="37"/>
      <c r="F1181" s="37"/>
      <c r="G1181"/>
    </row>
    <row r="1182" spans="1:7" ht="12.3">
      <c r="A1182" s="233"/>
      <c r="B1182" s="529" t="s">
        <v>325</v>
      </c>
      <c r="C1182" s="414"/>
      <c r="D1182" s="960" t="s">
        <v>659</v>
      </c>
      <c r="E1182" s="960"/>
      <c r="F1182" s="960"/>
      <c r="G1182"/>
    </row>
    <row r="1183" spans="1:7" ht="12.3">
      <c r="A1183" s="414"/>
      <c r="B1183" s="414"/>
      <c r="C1183" s="414"/>
      <c r="D1183" s="232"/>
      <c r="E1183" s="37"/>
      <c r="F1183" s="37"/>
      <c r="G1183"/>
    </row>
    <row r="1184" spans="1:7" ht="12.3">
      <c r="A1184" s="233"/>
      <c r="B1184" s="529" t="s">
        <v>325</v>
      </c>
      <c r="C1184" s="414"/>
      <c r="D1184" s="938" t="s">
        <v>660</v>
      </c>
      <c r="E1184" s="938"/>
      <c r="F1184" s="938"/>
      <c r="G1184"/>
    </row>
    <row r="1185" spans="1:7" ht="12.3">
      <c r="A1185" s="233"/>
      <c r="B1185" s="233"/>
      <c r="C1185" s="414"/>
      <c r="D1185" s="938"/>
      <c r="E1185" s="938"/>
      <c r="F1185" s="938"/>
      <c r="G1185"/>
    </row>
    <row r="1186" spans="1:7" ht="12.3">
      <c r="A1186" s="233"/>
      <c r="B1186" s="233"/>
      <c r="C1186" s="414"/>
      <c r="D1186" s="232"/>
      <c r="E1186" s="37"/>
      <c r="F1186" s="37"/>
      <c r="G1186" s="37"/>
    </row>
    <row r="1187" spans="1:7" s="377" customFormat="1" ht="12.3">
      <c r="A1187" s="249"/>
      <c r="B1187" s="529" t="s">
        <v>325</v>
      </c>
      <c r="C1187" s="706"/>
      <c r="D1187" s="972" t="s">
        <v>661</v>
      </c>
      <c r="E1187" s="972"/>
      <c r="F1187" s="972"/>
      <c r="G1187" s="707"/>
    </row>
    <row r="1188" spans="1:7" s="377" customFormat="1" ht="12.3">
      <c r="A1188" s="706"/>
      <c r="B1188" s="706"/>
      <c r="C1188" s="706"/>
      <c r="D1188" s="972"/>
      <c r="E1188" s="972"/>
      <c r="F1188" s="972"/>
      <c r="G1188" s="707"/>
    </row>
    <row r="1189" spans="1:7" s="377" customFormat="1" ht="12.3">
      <c r="A1189" s="706"/>
      <c r="B1189" s="706"/>
      <c r="C1189" s="706"/>
      <c r="D1189" s="860"/>
      <c r="E1189" s="707"/>
      <c r="F1189" s="707"/>
      <c r="G1189" s="707"/>
    </row>
    <row r="1190" spans="1:7" s="377" customFormat="1" ht="12.3">
      <c r="A1190" s="249"/>
      <c r="B1190" s="529" t="s">
        <v>325</v>
      </c>
      <c r="C1190" s="706"/>
      <c r="D1190" s="990" t="s">
        <v>662</v>
      </c>
      <c r="E1190" s="990"/>
      <c r="F1190" s="990"/>
      <c r="G1190" s="707"/>
    </row>
    <row r="1191" spans="1:7" s="377" customFormat="1" ht="12.3">
      <c r="A1191" s="706"/>
      <c r="B1191" s="706"/>
      <c r="C1191" s="706"/>
      <c r="D1191" s="860"/>
      <c r="E1191" s="707"/>
      <c r="F1191" s="707"/>
      <c r="G1191" s="707"/>
    </row>
    <row r="1192" spans="1:7" ht="12.3">
      <c r="A1192" s="233"/>
      <c r="B1192" s="529" t="s">
        <v>323</v>
      </c>
      <c r="C1192" s="414"/>
      <c r="D1192" s="960" t="s">
        <v>663</v>
      </c>
      <c r="E1192" s="960"/>
      <c r="F1192" s="960"/>
      <c r="G1192" s="37"/>
    </row>
    <row r="1193" spans="1:7" ht="12.3">
      <c r="A1193" s="233"/>
      <c r="B1193" s="233"/>
      <c r="C1193" s="414"/>
      <c r="D1193" s="232"/>
      <c r="E1193" s="37"/>
      <c r="F1193" s="37"/>
      <c r="G1193" s="37"/>
    </row>
    <row r="1194" spans="1:7" ht="12.3">
      <c r="A1194" s="233"/>
      <c r="B1194" s="529" t="s">
        <v>323</v>
      </c>
      <c r="C1194" s="414"/>
      <c r="D1194" s="938" t="s">
        <v>664</v>
      </c>
      <c r="E1194" s="938"/>
      <c r="F1194" s="938"/>
      <c r="G1194" s="37"/>
    </row>
    <row r="1195" spans="1:7" ht="12.3">
      <c r="A1195" s="233"/>
      <c r="B1195" s="233"/>
      <c r="C1195" s="414"/>
      <c r="D1195" s="938"/>
      <c r="E1195" s="938"/>
      <c r="F1195" s="938"/>
      <c r="G1195" s="37"/>
    </row>
    <row r="1196" spans="1:7" ht="12.3">
      <c r="A1196" s="414"/>
      <c r="B1196" s="414"/>
      <c r="C1196" s="414"/>
      <c r="D1196" s="37"/>
      <c r="E1196" s="37"/>
      <c r="F1196" s="37"/>
      <c r="G1196" s="37"/>
    </row>
    <row r="1197" spans="1:7" ht="12.3">
      <c r="A1197" s="964" t="s">
        <v>665</v>
      </c>
      <c r="B1197" s="964"/>
      <c r="C1197" s="964"/>
      <c r="D1197" s="964"/>
      <c r="E1197" s="964"/>
      <c r="F1197" s="964"/>
      <c r="G1197" s="964"/>
    </row>
    <row r="1198" spans="1:7" ht="12.3">
      <c r="A1198" s="414"/>
      <c r="B1198" s="414"/>
      <c r="C1198" s="414"/>
      <c r="D1198" s="37"/>
      <c r="E1198" s="37"/>
      <c r="F1198" s="37"/>
      <c r="G1198" s="37"/>
    </row>
    <row r="1199" spans="1:7" ht="12.3">
      <c r="A1199" s="964" t="s">
        <v>666</v>
      </c>
      <c r="B1199" s="964"/>
      <c r="C1199" s="964"/>
      <c r="D1199" s="964"/>
      <c r="E1199" s="964"/>
      <c r="F1199" s="964"/>
      <c r="G1199" s="964"/>
    </row>
    <row r="1200" spans="1:7" ht="12.3">
      <c r="A1200" s="414"/>
      <c r="B1200" s="414"/>
      <c r="C1200" s="414"/>
      <c r="D1200" s="37"/>
      <c r="E1200" s="37"/>
      <c r="F1200" s="37"/>
      <c r="G1200" s="37"/>
    </row>
    <row r="1201" spans="1:7" ht="12.3">
      <c r="A1201" s="414"/>
      <c r="B1201" s="414"/>
      <c r="C1201" s="414"/>
      <c r="D1201" s="989" t="s">
        <v>667</v>
      </c>
      <c r="E1201" s="989"/>
      <c r="F1201" s="989"/>
      <c r="G1201" s="37"/>
    </row>
    <row r="1202" spans="1:7" ht="12.3">
      <c r="A1202" s="414"/>
      <c r="B1202" s="414"/>
      <c r="C1202" s="414"/>
      <c r="D1202" s="990" t="s">
        <v>668</v>
      </c>
      <c r="E1202" s="990"/>
      <c r="F1202" s="990"/>
      <c r="G1202" s="37"/>
    </row>
    <row r="1203" spans="1:7" ht="12.3">
      <c r="A1203" s="167"/>
      <c r="B1203" s="167"/>
      <c r="C1203" s="167"/>
      <c r="D1203" s="37"/>
      <c r="E1203" s="37"/>
      <c r="F1203" s="37"/>
      <c r="G1203" s="37"/>
    </row>
    <row r="1204" spans="1:7" ht="12.3">
      <c r="A1204" s="233"/>
      <c r="B1204" s="233"/>
      <c r="C1204" s="168"/>
      <c r="D1204" s="989" t="s">
        <v>669</v>
      </c>
      <c r="E1204" s="989"/>
      <c r="F1204" s="989"/>
      <c r="G1204" s="37"/>
    </row>
    <row r="1205" spans="1:7" ht="12.3">
      <c r="A1205" s="414"/>
      <c r="B1205" s="529" t="s">
        <v>323</v>
      </c>
      <c r="C1205" s="414"/>
      <c r="D1205" s="990" t="s">
        <v>670</v>
      </c>
      <c r="E1205" s="990"/>
      <c r="F1205" s="990"/>
      <c r="G1205" s="37"/>
    </row>
    <row r="1206" spans="1:7" ht="12.3">
      <c r="A1206" s="414"/>
      <c r="B1206" s="414"/>
      <c r="C1206" s="414"/>
      <c r="D1206" s="990" t="s">
        <v>671</v>
      </c>
      <c r="E1206" s="990"/>
      <c r="F1206" s="990"/>
      <c r="G1206" s="37"/>
    </row>
    <row r="1207" spans="1:7" ht="12.3">
      <c r="A1207" s="414"/>
      <c r="B1207" s="414"/>
      <c r="C1207" s="414"/>
      <c r="D1207" s="37"/>
      <c r="E1207" s="37"/>
      <c r="F1207" s="37"/>
      <c r="G1207"/>
    </row>
    <row r="1208" spans="1:7" ht="12.75" customHeight="1">
      <c r="A1208" s="414"/>
      <c r="B1208" s="529" t="s">
        <v>323</v>
      </c>
      <c r="C1208" s="414"/>
      <c r="D1208" s="972" t="s">
        <v>672</v>
      </c>
      <c r="E1208" s="972"/>
      <c r="F1208" s="972"/>
      <c r="G1208"/>
    </row>
    <row r="1209" spans="1:7" ht="12.3">
      <c r="A1209" s="414"/>
      <c r="B1209" s="414"/>
      <c r="C1209" s="414"/>
      <c r="D1209" s="972"/>
      <c r="E1209" s="972"/>
      <c r="F1209" s="972"/>
      <c r="G1209"/>
    </row>
    <row r="1210" spans="1:7" ht="12.3">
      <c r="A1210" s="414"/>
      <c r="B1210" s="414"/>
      <c r="C1210" s="414"/>
      <c r="D1210" s="37"/>
      <c r="E1210" s="37"/>
      <c r="F1210" s="37"/>
      <c r="G1210"/>
    </row>
    <row r="1211" spans="1:7" ht="12.75" customHeight="1">
      <c r="A1211" s="414"/>
      <c r="B1211" s="414"/>
      <c r="C1211" s="414"/>
      <c r="D1211" s="37"/>
      <c r="E1211" s="37"/>
      <c r="F1211" s="37"/>
      <c r="G1211" s="37"/>
    </row>
    <row r="1212" spans="1:7" ht="12.3">
      <c r="A1212" s="964" t="s">
        <v>673</v>
      </c>
      <c r="B1212" s="964"/>
      <c r="C1212" s="964"/>
      <c r="D1212" s="964"/>
      <c r="E1212" s="964"/>
      <c r="F1212" s="964"/>
      <c r="G1212" s="964"/>
    </row>
    <row r="1213" spans="1:7" ht="12.3">
      <c r="A1213" s="232"/>
      <c r="B1213" s="232"/>
      <c r="C1213" s="414"/>
      <c r="D1213" s="37"/>
      <c r="E1213" s="37"/>
      <c r="F1213" s="37"/>
      <c r="G1213" s="37"/>
    </row>
    <row r="1214" spans="1:7" ht="12.75" customHeight="1">
      <c r="A1214" s="232"/>
      <c r="B1214" s="232"/>
      <c r="C1214" s="414"/>
      <c r="D1214" s="965" t="s">
        <v>674</v>
      </c>
      <c r="E1214" s="965"/>
      <c r="F1214" s="965"/>
      <c r="G1214" s="37"/>
    </row>
    <row r="1215" spans="1:7" ht="12.75" customHeight="1">
      <c r="A1215" s="232"/>
      <c r="B1215" s="232"/>
      <c r="C1215" s="414"/>
      <c r="D1215" s="960" t="s">
        <v>675</v>
      </c>
      <c r="E1215" s="960"/>
      <c r="F1215" s="960"/>
      <c r="G1215" s="37"/>
    </row>
    <row r="1216" spans="1:7" ht="12.75" customHeight="1">
      <c r="A1216" s="232"/>
      <c r="B1216" s="232"/>
      <c r="C1216" s="414"/>
      <c r="D1216" s="37"/>
      <c r="E1216" s="37"/>
      <c r="F1216" s="37"/>
      <c r="G1216" s="37"/>
    </row>
    <row r="1217" spans="1:7" ht="12.3">
      <c r="A1217" s="233"/>
      <c r="B1217" s="529" t="s">
        <v>325</v>
      </c>
      <c r="C1217" s="414"/>
      <c r="D1217" s="963" t="s">
        <v>676</v>
      </c>
      <c r="E1217" s="963"/>
      <c r="F1217" s="963"/>
      <c r="G1217" s="37"/>
    </row>
    <row r="1218" spans="1:7" ht="12.3">
      <c r="A1218" s="414"/>
      <c r="B1218" s="414"/>
      <c r="C1218" s="414"/>
      <c r="D1218" s="960" t="s">
        <v>534</v>
      </c>
      <c r="E1218" s="960"/>
      <c r="F1218" s="960"/>
      <c r="G1218" s="37"/>
    </row>
    <row r="1219" spans="1:7" ht="12.3">
      <c r="A1219" s="414"/>
      <c r="B1219" s="414"/>
      <c r="C1219" s="414"/>
      <c r="D1219" s="37"/>
      <c r="E1219" s="976" t="s">
        <v>677</v>
      </c>
      <c r="F1219" s="976"/>
      <c r="G1219" s="37"/>
    </row>
    <row r="1220" spans="1:7" ht="12.3">
      <c r="A1220" s="414"/>
      <c r="B1220" s="414"/>
      <c r="C1220" s="414"/>
      <c r="D1220" s="3"/>
      <c r="E1220" s="37"/>
      <c r="F1220" s="37"/>
      <c r="G1220" s="37"/>
    </row>
    <row r="1221" spans="1:7" ht="12.3">
      <c r="A1221" s="414"/>
      <c r="B1221" s="414"/>
      <c r="C1221" s="414"/>
      <c r="D1221" s="988" t="s">
        <v>678</v>
      </c>
      <c r="E1221" s="988"/>
      <c r="F1221" s="988"/>
      <c r="G1221" s="37"/>
    </row>
    <row r="1222" spans="1:7" ht="12.3">
      <c r="A1222" s="414"/>
      <c r="B1222" s="529" t="s">
        <v>325</v>
      </c>
      <c r="C1222" s="414"/>
      <c r="D1222" s="938" t="s">
        <v>679</v>
      </c>
      <c r="E1222" s="938"/>
      <c r="F1222" s="938"/>
      <c r="G1222"/>
    </row>
    <row r="1223" spans="1:7" ht="12.3">
      <c r="A1223" s="414"/>
      <c r="B1223" s="414"/>
      <c r="C1223" s="414"/>
      <c r="D1223" s="938"/>
      <c r="E1223" s="938"/>
      <c r="F1223" s="938"/>
      <c r="G1223"/>
    </row>
    <row r="1224" spans="1:7" ht="12.3">
      <c r="A1224" s="414"/>
      <c r="B1224" s="414"/>
      <c r="C1224" s="414"/>
      <c r="D1224" s="426" t="s">
        <v>680</v>
      </c>
      <c r="E1224"/>
      <c r="F1224"/>
      <c r="G1224"/>
    </row>
    <row r="1225" spans="1:7" ht="14.1" customHeight="1">
      <c r="A1225" s="414"/>
      <c r="B1225" s="414"/>
      <c r="C1225" s="414"/>
      <c r="D1225" s="938" t="s">
        <v>681</v>
      </c>
      <c r="E1225" s="938"/>
      <c r="F1225" s="938"/>
      <c r="G1225"/>
    </row>
    <row r="1226" spans="1:7" ht="12.3">
      <c r="A1226" s="414"/>
      <c r="B1226" s="414"/>
      <c r="C1226" s="414"/>
      <c r="D1226" s="938"/>
      <c r="E1226" s="938"/>
      <c r="F1226" s="938"/>
      <c r="G1226"/>
    </row>
    <row r="1227" spans="1:7" ht="12.3">
      <c r="A1227" s="414"/>
      <c r="B1227" s="414"/>
      <c r="C1227" s="414"/>
      <c r="D1227" s="938"/>
      <c r="E1227" s="938"/>
      <c r="F1227" s="938"/>
      <c r="G1227"/>
    </row>
    <row r="1228" spans="1:7" ht="12.3">
      <c r="A1228" s="414"/>
      <c r="B1228" s="414"/>
      <c r="C1228" s="414"/>
      <c r="D1228" s="938"/>
      <c r="E1228" s="938"/>
      <c r="F1228" s="938"/>
      <c r="G1228"/>
    </row>
    <row r="1229" spans="1:7" ht="12.3">
      <c r="A1229" s="414"/>
      <c r="B1229" s="414"/>
      <c r="C1229" s="414"/>
      <c r="D1229" s="976" t="s">
        <v>682</v>
      </c>
      <c r="E1229" s="976"/>
      <c r="F1229" s="976"/>
      <c r="G1229"/>
    </row>
    <row r="1230" spans="1:7" ht="12.3">
      <c r="A1230" s="414"/>
      <c r="B1230" s="529" t="s">
        <v>325</v>
      </c>
      <c r="C1230" s="414"/>
      <c r="D1230" s="963" t="s">
        <v>683</v>
      </c>
      <c r="E1230" s="963"/>
      <c r="F1230" s="963"/>
      <c r="G1230"/>
    </row>
    <row r="1231" spans="1:7" ht="12.3">
      <c r="A1231" s="414"/>
      <c r="B1231" s="414"/>
      <c r="C1231" s="414"/>
      <c r="D1231" s="37"/>
      <c r="E1231"/>
      <c r="F1231"/>
      <c r="G1231"/>
    </row>
    <row r="1232" spans="1:7" ht="12.3">
      <c r="A1232" s="414"/>
      <c r="B1232" s="414"/>
      <c r="C1232" s="414"/>
      <c r="D1232" s="971" t="s">
        <v>684</v>
      </c>
      <c r="E1232" s="971"/>
      <c r="F1232" s="971"/>
      <c r="G1232"/>
    </row>
    <row r="1233" spans="1:7" ht="12.3">
      <c r="A1233" s="414"/>
      <c r="B1233" s="414"/>
      <c r="C1233" s="414"/>
      <c r="D1233" s="3" t="s">
        <v>685</v>
      </c>
      <c r="E1233"/>
      <c r="F1233"/>
      <c r="G1233"/>
    </row>
    <row r="1234" spans="1:7" ht="14.85" customHeight="1">
      <c r="A1234" s="233"/>
      <c r="B1234" s="529" t="s">
        <v>325</v>
      </c>
      <c r="C1234" s="414"/>
      <c r="D1234" s="938" t="s">
        <v>686</v>
      </c>
      <c r="E1234" s="938"/>
      <c r="F1234" s="938"/>
      <c r="G1234"/>
    </row>
    <row r="1235" spans="1:7" ht="12.3">
      <c r="A1235" s="233"/>
      <c r="B1235" s="233"/>
      <c r="C1235" s="414"/>
      <c r="D1235" s="938"/>
      <c r="E1235" s="938"/>
      <c r="F1235" s="938"/>
      <c r="G1235"/>
    </row>
    <row r="1236" spans="1:7" ht="12.3">
      <c r="A1236" s="233"/>
      <c r="B1236" s="233"/>
      <c r="C1236" s="414"/>
      <c r="D1236" s="938"/>
      <c r="E1236" s="938"/>
      <c r="F1236" s="938"/>
      <c r="G1236"/>
    </row>
    <row r="1237" spans="1:7" ht="12.3">
      <c r="A1237" s="233"/>
      <c r="B1237" s="233"/>
      <c r="C1237" s="414"/>
      <c r="D1237" s="37"/>
      <c r="E1237"/>
      <c r="F1237"/>
      <c r="G1237"/>
    </row>
    <row r="1238" spans="1:7" ht="12.3">
      <c r="A1238" s="233"/>
      <c r="B1238" s="233"/>
      <c r="C1238" s="414"/>
      <c r="D1238" s="350" t="s">
        <v>687</v>
      </c>
      <c r="E1238" s="350"/>
      <c r="F1238" s="350"/>
      <c r="G1238" s="37"/>
    </row>
    <row r="1239" spans="1:7" ht="12.3">
      <c r="A1239" s="233"/>
      <c r="B1239" s="529" t="s">
        <v>325</v>
      </c>
      <c r="C1239" s="414"/>
      <c r="D1239" s="938" t="s">
        <v>688</v>
      </c>
      <c r="E1239" s="938"/>
      <c r="F1239" s="938"/>
      <c r="G1239" s="37"/>
    </row>
    <row r="1240" spans="1:7" ht="12.3">
      <c r="A1240" s="233"/>
      <c r="B1240" s="233"/>
      <c r="C1240" s="414"/>
      <c r="D1240" s="938"/>
      <c r="E1240" s="938"/>
      <c r="F1240" s="938"/>
      <c r="G1240" s="37"/>
    </row>
    <row r="1241" spans="1:7" ht="12.3">
      <c r="A1241" s="233"/>
      <c r="B1241" s="233"/>
      <c r="C1241" s="414"/>
      <c r="D1241" s="938"/>
      <c r="E1241" s="938"/>
      <c r="F1241" s="938"/>
      <c r="G1241" s="37"/>
    </row>
    <row r="1242" spans="1:7" ht="12.3">
      <c r="A1242" s="233"/>
      <c r="B1242" s="233"/>
      <c r="C1242" s="414"/>
      <c r="D1242" s="938"/>
      <c r="E1242" s="938"/>
      <c r="F1242" s="938"/>
      <c r="G1242" s="37"/>
    </row>
    <row r="1243" spans="1:7" ht="12.3">
      <c r="A1243" s="233"/>
      <c r="B1243" s="233"/>
      <c r="C1243" s="414"/>
      <c r="D1243" s="938"/>
      <c r="E1243" s="938"/>
      <c r="F1243" s="938"/>
      <c r="G1243" s="37"/>
    </row>
    <row r="1244" spans="1:7" ht="12.75" customHeight="1">
      <c r="A1244" s="232"/>
      <c r="B1244" s="232"/>
      <c r="C1244" s="414"/>
      <c r="D1244" s="37"/>
      <c r="E1244" s="37"/>
      <c r="F1244" s="37"/>
      <c r="G1244" s="37"/>
    </row>
    <row r="1245" spans="1:7" ht="12.3">
      <c r="A1245" s="964" t="s">
        <v>689</v>
      </c>
      <c r="B1245" s="964"/>
      <c r="C1245" s="964"/>
      <c r="D1245" s="964"/>
      <c r="E1245" s="964"/>
      <c r="F1245" s="964"/>
      <c r="G1245" s="964"/>
    </row>
    <row r="1246" spans="1:7" ht="12.3">
      <c r="A1246" s="232"/>
      <c r="B1246" s="232"/>
      <c r="C1246" s="414"/>
      <c r="D1246" s="37"/>
      <c r="E1246" s="37"/>
      <c r="F1246" s="37"/>
      <c r="G1246" s="37"/>
    </row>
    <row r="1247" spans="1:7" ht="12.3">
      <c r="A1247" s="232"/>
      <c r="B1247" s="232"/>
      <c r="C1247" s="414"/>
      <c r="D1247" s="973" t="s">
        <v>690</v>
      </c>
      <c r="E1247" s="973"/>
      <c r="F1247" s="973"/>
      <c r="G1247" s="37"/>
    </row>
    <row r="1248" spans="1:7" ht="12.3">
      <c r="A1248" s="230"/>
      <c r="B1248" s="230"/>
      <c r="C1248" s="230"/>
      <c r="D1248" s="963" t="s">
        <v>691</v>
      </c>
      <c r="E1248" s="963"/>
      <c r="F1248" s="963"/>
      <c r="G1248" s="231"/>
    </row>
    <row r="1249" spans="1:7" ht="10.5" customHeight="1">
      <c r="A1249" s="414"/>
      <c r="B1249" s="414"/>
      <c r="C1249" s="414"/>
      <c r="D1249" s="37"/>
      <c r="E1249" s="37"/>
      <c r="F1249" s="37"/>
      <c r="G1249" s="37"/>
    </row>
    <row r="1250" spans="1:7" ht="12.3">
      <c r="A1250" s="233"/>
      <c r="B1250" s="529" t="s">
        <v>325</v>
      </c>
      <c r="C1250" s="414"/>
      <c r="D1250" s="963" t="s">
        <v>692</v>
      </c>
      <c r="E1250" s="963"/>
      <c r="F1250" s="963"/>
      <c r="G1250" s="37"/>
    </row>
    <row r="1251" spans="1:7" ht="12.3">
      <c r="A1251" s="414"/>
      <c r="B1251" s="414"/>
      <c r="C1251" s="414"/>
      <c r="D1251" s="37"/>
      <c r="E1251" s="976" t="s">
        <v>693</v>
      </c>
      <c r="F1251" s="976"/>
      <c r="G1251" s="37"/>
    </row>
    <row r="1252" spans="1:7" ht="12.3">
      <c r="A1252" s="414"/>
      <c r="B1252" s="414"/>
      <c r="C1252" s="414"/>
      <c r="D1252" s="84"/>
      <c r="E1252" s="84"/>
      <c r="F1252" s="84"/>
      <c r="G1252" s="37"/>
    </row>
    <row r="1253" spans="1:7" ht="14.1" customHeight="1">
      <c r="A1253" s="414"/>
      <c r="B1253" s="414"/>
      <c r="C1253" s="414"/>
      <c r="D1253" s="37"/>
      <c r="E1253" s="37"/>
      <c r="F1253" s="37"/>
      <c r="G1253" s="37"/>
    </row>
    <row r="1254" spans="1:7" ht="14.1" customHeight="1">
      <c r="A1254" s="414"/>
      <c r="B1254" s="414"/>
      <c r="C1254" s="414"/>
      <c r="D1254" s="37"/>
      <c r="E1254" s="37"/>
      <c r="F1254" s="37"/>
      <c r="G1254" s="37"/>
    </row>
    <row r="1255" spans="1:7" ht="14.1" customHeight="1">
      <c r="A1255" s="414"/>
      <c r="B1255" s="414"/>
      <c r="C1255" s="414"/>
      <c r="D1255" s="37"/>
      <c r="E1255" s="37"/>
      <c r="F1255" s="37"/>
      <c r="G1255" s="37"/>
    </row>
    <row r="1256" spans="1:7" ht="14.1" customHeight="1">
      <c r="A1256" s="414"/>
      <c r="B1256" s="414"/>
      <c r="C1256" s="414"/>
      <c r="D1256" s="37"/>
      <c r="E1256" s="37"/>
      <c r="F1256" s="37"/>
      <c r="G1256" s="37"/>
    </row>
    <row r="1257" spans="1:7" ht="14.1" customHeight="1">
      <c r="A1257" s="414"/>
      <c r="B1257" s="414"/>
      <c r="C1257" s="414"/>
      <c r="D1257" s="37"/>
      <c r="E1257" s="37"/>
      <c r="F1257" s="37"/>
      <c r="G1257" s="37"/>
    </row>
    <row r="1258" spans="1:7" ht="14.1" customHeight="1">
      <c r="A1258" s="414"/>
      <c r="B1258" s="414"/>
      <c r="C1258" s="414"/>
      <c r="D1258" s="37"/>
      <c r="E1258" s="37"/>
      <c r="F1258" s="37"/>
      <c r="G1258" s="37"/>
    </row>
    <row r="1259" spans="1:7" ht="14.1" customHeight="1">
      <c r="A1259" s="414"/>
      <c r="B1259" s="414"/>
      <c r="C1259" s="414"/>
      <c r="D1259" s="37"/>
      <c r="E1259" s="37"/>
      <c r="F1259" s="37"/>
      <c r="G1259" s="37"/>
    </row>
    <row r="1260" spans="1:7" ht="14.1" customHeight="1">
      <c r="A1260"/>
      <c r="B1260"/>
      <c r="C1260"/>
      <c r="D1260"/>
      <c r="E1260"/>
      <c r="F1260"/>
      <c r="G1260"/>
    </row>
    <row r="1261" spans="1:7" ht="14.1" customHeight="1">
      <c r="A1261"/>
      <c r="B1261"/>
      <c r="C1261"/>
      <c r="D1261"/>
      <c r="E1261"/>
      <c r="F1261"/>
      <c r="G1261"/>
    </row>
    <row r="1262" spans="1:7" ht="14.1" customHeight="1">
      <c r="A1262"/>
      <c r="B1262"/>
      <c r="C1262"/>
      <c r="D1262"/>
      <c r="E1262"/>
      <c r="F1262"/>
      <c r="G1262"/>
    </row>
    <row r="1263" spans="1:7" ht="14.1" customHeight="1">
      <c r="A1263"/>
      <c r="B1263"/>
      <c r="C1263"/>
      <c r="D1263"/>
      <c r="E1263"/>
      <c r="F1263"/>
      <c r="G1263"/>
    </row>
    <row r="1264" spans="1:7" ht="14.1" customHeight="1">
      <c r="A1264"/>
      <c r="B1264"/>
      <c r="C1264"/>
      <c r="D1264"/>
      <c r="E1264"/>
      <c r="F1264"/>
      <c r="G1264"/>
    </row>
    <row r="1265" customFormat="1" ht="14.1" customHeight="1"/>
    <row r="1266" customFormat="1" ht="14.1" customHeight="1"/>
    <row r="1267" customFormat="1" ht="14.1" customHeight="1"/>
    <row r="1268" customFormat="1" ht="14.1" customHeight="1"/>
    <row r="1269" customFormat="1" ht="14.1" customHeight="1"/>
    <row r="1270" customFormat="1" ht="14.1" customHeight="1"/>
    <row r="1271" customFormat="1" ht="14.1" customHeight="1"/>
    <row r="1272" customFormat="1" ht="14.1" customHeight="1"/>
    <row r="1273" customFormat="1" ht="14.1" customHeight="1"/>
    <row r="1274" customFormat="1" ht="14.1" customHeight="1"/>
    <row r="1275" customFormat="1" ht="14.1" customHeight="1"/>
    <row r="1276" customFormat="1" ht="14.1" customHeight="1"/>
    <row r="1277" customFormat="1" ht="14.1" customHeight="1"/>
    <row r="1278" customFormat="1" ht="14.1" customHeight="1"/>
    <row r="1279" customFormat="1" ht="14.1" customHeight="1"/>
    <row r="1280" customFormat="1" ht="14.1" customHeight="1"/>
    <row r="1281" spans="1:7" ht="14.1" customHeight="1">
      <c r="A1281"/>
      <c r="B1281"/>
      <c r="C1281"/>
      <c r="D1281"/>
      <c r="E1281"/>
      <c r="F1281"/>
      <c r="G1281"/>
    </row>
    <row r="1282" spans="1:7" ht="14.1" customHeight="1">
      <c r="A1282"/>
      <c r="B1282"/>
      <c r="C1282"/>
      <c r="D1282"/>
      <c r="E1282"/>
      <c r="F1282"/>
      <c r="G1282"/>
    </row>
    <row r="1283" spans="1:7" ht="14.1" customHeight="1">
      <c r="A1283"/>
      <c r="B1283"/>
      <c r="C1283"/>
      <c r="D1283"/>
      <c r="E1283"/>
      <c r="F1283"/>
      <c r="G1283"/>
    </row>
    <row r="1284" spans="1:7" ht="14.1" customHeight="1">
      <c r="A1284"/>
      <c r="B1284"/>
      <c r="C1284"/>
      <c r="D1284"/>
      <c r="E1284"/>
      <c r="F1284"/>
      <c r="G1284"/>
    </row>
    <row r="1285" spans="1:7" ht="14.1" customHeight="1">
      <c r="A1285"/>
      <c r="B1285"/>
      <c r="C1285"/>
      <c r="D1285"/>
      <c r="E1285"/>
      <c r="F1285"/>
      <c r="G1285"/>
    </row>
    <row r="1286" spans="1:7" ht="14.1" customHeight="1">
      <c r="A1286"/>
      <c r="B1286"/>
      <c r="C1286"/>
      <c r="D1286"/>
      <c r="E1286"/>
      <c r="F1286"/>
      <c r="G1286"/>
    </row>
    <row r="1287" spans="1:7" ht="14.1" customHeight="1">
      <c r="A1287" s="414"/>
      <c r="B1287" s="414"/>
      <c r="C1287" s="414"/>
      <c r="D1287" s="37"/>
      <c r="E1287" s="37"/>
      <c r="F1287" s="37"/>
      <c r="G1287" s="37"/>
    </row>
    <row r="1288" spans="1:7" ht="14.1" customHeight="1">
      <c r="A1288" s="414"/>
      <c r="B1288" s="414"/>
      <c r="C1288" s="414"/>
      <c r="D1288" s="37"/>
      <c r="E1288" s="37"/>
      <c r="F1288" s="37"/>
      <c r="G1288" s="37"/>
    </row>
    <row r="1289" spans="1:7" ht="14.1" customHeight="1">
      <c r="A1289" s="414"/>
      <c r="B1289" s="414"/>
      <c r="C1289" s="414"/>
      <c r="D1289" s="37"/>
      <c r="E1289" s="37"/>
      <c r="F1289" s="37"/>
      <c r="G1289" s="37"/>
    </row>
    <row r="1290" spans="1:7" ht="14.1" customHeight="1">
      <c r="A1290" s="414"/>
      <c r="B1290" s="414"/>
      <c r="C1290" s="414"/>
      <c r="D1290" s="37"/>
      <c r="E1290" s="37"/>
      <c r="F1290" s="37"/>
      <c r="G1290" s="37"/>
    </row>
    <row r="1291" spans="1:7" ht="14.1" customHeight="1">
      <c r="A1291" s="414"/>
      <c r="B1291" s="414"/>
      <c r="C1291" s="414"/>
      <c r="D1291" s="37"/>
      <c r="E1291" s="37"/>
      <c r="F1291" s="37"/>
      <c r="G1291" s="37"/>
    </row>
    <row r="1292" spans="1:7" ht="14.1" customHeight="1">
      <c r="A1292" s="414"/>
      <c r="B1292" s="414"/>
      <c r="C1292" s="414"/>
      <c r="D1292" s="37"/>
      <c r="E1292" s="37"/>
      <c r="F1292" s="37"/>
      <c r="G1292" s="37"/>
    </row>
    <row r="1293" spans="1:7" ht="14.1" customHeight="1">
      <c r="A1293" s="414"/>
      <c r="B1293" s="414"/>
      <c r="C1293" s="414"/>
      <c r="D1293" s="37"/>
      <c r="E1293" s="37"/>
      <c r="F1293" s="37"/>
      <c r="G1293" s="37"/>
    </row>
    <row r="1294" spans="1:7" ht="14.1" customHeight="1">
      <c r="A1294" s="414"/>
      <c r="B1294" s="414"/>
      <c r="C1294" s="414"/>
      <c r="D1294" s="37"/>
      <c r="E1294" s="37"/>
      <c r="F1294" s="37"/>
      <c r="G1294" s="37"/>
    </row>
    <row r="1295" spans="1:7" ht="14.1" customHeight="1">
      <c r="A1295" s="414"/>
      <c r="B1295" s="414"/>
      <c r="C1295" s="414"/>
      <c r="D1295" s="37"/>
      <c r="E1295" s="37"/>
      <c r="F1295" s="37"/>
      <c r="G1295" s="37"/>
    </row>
    <row r="1296" spans="1:7" ht="14.1" customHeight="1">
      <c r="A1296" s="414"/>
      <c r="B1296" s="414"/>
      <c r="C1296" s="414"/>
      <c r="D1296" s="37"/>
      <c r="E1296" s="37"/>
      <c r="F1296" s="37"/>
      <c r="G1296" s="37"/>
    </row>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row r="1454" ht="14.1" customHeight="1"/>
    <row r="1455" ht="14.1" customHeight="1"/>
    <row r="1456" ht="14.1" customHeight="1"/>
    <row r="1457" ht="14.1" customHeight="1"/>
    <row r="1458" ht="14.1" customHeight="1"/>
    <row r="1459" ht="14.1" customHeight="1"/>
    <row r="1460" ht="14.1" customHeight="1"/>
    <row r="1461" ht="14.1"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C1045"/>
  <sheetViews>
    <sheetView showGridLines="0" tabSelected="1" topLeftCell="B1" zoomScale="140" zoomScaleNormal="140" workbookViewId="0">
      <selection activeCell="AC6" sqref="AC6"/>
    </sheetView>
  </sheetViews>
  <sheetFormatPr defaultColWidth="0" defaultRowHeight="13.35" customHeight="1" zeroHeight="1"/>
  <cols>
    <col min="1" max="32" width="2.44140625" customWidth="1"/>
    <col min="33" max="33" width="3.1640625" customWidth="1"/>
    <col min="34" max="34" width="2.44140625" customWidth="1"/>
    <col min="35" max="35" width="3" customWidth="1"/>
    <col min="36" max="38" width="2.44140625" customWidth="1"/>
    <col min="39" max="39" width="2.71875" customWidth="1"/>
    <col min="40" max="40" width="3" customWidth="1"/>
    <col min="41" max="41" width="2.71875" customWidth="1"/>
    <col min="42" max="45" width="2.44140625" customWidth="1"/>
    <col min="46" max="46" width="2.71875" customWidth="1"/>
    <col min="47" max="16383" width="9.1640625" hidden="1"/>
    <col min="16384" max="16384" width="0.27734375" hidden="1"/>
  </cols>
  <sheetData>
    <row r="1" spans="1:45" ht="13.35" customHeight="1">
      <c r="J1" s="161"/>
      <c r="AS1" s="824">
        <v>9</v>
      </c>
    </row>
    <row r="2" spans="1:45" ht="13.35" customHeight="1"/>
    <row r="3" spans="1:45" ht="13.35" customHeight="1"/>
    <row r="4" spans="1:45" ht="13.35" customHeight="1"/>
    <row r="5" spans="1:45" ht="13.35" customHeight="1"/>
    <row r="6" spans="1:45" ht="13.35" customHeight="1"/>
    <row r="7" spans="1:45" ht="13.35" customHeight="1"/>
    <row r="8" spans="1:45" ht="13.35" customHeight="1"/>
    <row r="9" spans="1:45" ht="13.35" customHeight="1">
      <c r="A9" s="1345" t="s">
        <v>694</v>
      </c>
      <c r="B9" s="1345"/>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c r="AG9" s="1345"/>
      <c r="AH9" s="1345"/>
      <c r="AI9" s="1345"/>
      <c r="AJ9" s="1345"/>
      <c r="AK9" s="1345"/>
      <c r="AL9" s="1345"/>
    </row>
    <row r="10" spans="1:45" ht="13.35" customHeight="1">
      <c r="A10" s="1347" t="s">
        <v>695</v>
      </c>
      <c r="B10" s="1347"/>
      <c r="C10" s="1347"/>
      <c r="D10" s="1347"/>
      <c r="E10" s="1347"/>
      <c r="F10" s="1347"/>
      <c r="G10" s="1347"/>
      <c r="H10" s="1347"/>
      <c r="I10" s="1347"/>
      <c r="J10" s="1347"/>
      <c r="K10" s="1347"/>
      <c r="L10" s="1347"/>
      <c r="M10" s="1347"/>
      <c r="N10" s="1347"/>
      <c r="O10" s="1347"/>
      <c r="P10" s="1347"/>
      <c r="Q10" s="1347"/>
      <c r="R10" s="1347"/>
      <c r="S10" s="1347"/>
      <c r="T10" s="1347"/>
      <c r="U10" s="1347"/>
      <c r="V10" s="1347"/>
      <c r="W10" s="1347"/>
      <c r="X10" s="1347"/>
      <c r="Y10" s="1347"/>
      <c r="Z10" s="1347"/>
      <c r="AA10" s="1347"/>
      <c r="AB10" s="1347"/>
      <c r="AC10" s="1347"/>
      <c r="AD10" s="1347"/>
      <c r="AE10" s="1347"/>
      <c r="AF10" s="1347"/>
      <c r="AG10" s="1347"/>
      <c r="AH10" s="1347"/>
      <c r="AI10" s="1347"/>
      <c r="AJ10" s="1347"/>
      <c r="AK10" s="1347"/>
      <c r="AL10" s="1347"/>
    </row>
    <row r="11" spans="1:45" s="229" customFormat="1" ht="13.35" customHeight="1">
      <c r="A11" s="1348" t="s">
        <v>696</v>
      </c>
      <c r="B11" s="1348"/>
      <c r="C11" s="1348"/>
      <c r="D11" s="1348"/>
      <c r="E11" s="1348"/>
      <c r="F11" s="1348"/>
      <c r="G11" s="1348"/>
      <c r="H11" s="1348"/>
      <c r="I11" s="1348"/>
      <c r="J11" s="1348"/>
      <c r="K11" s="1348"/>
      <c r="L11" s="1348"/>
      <c r="M11" s="1348"/>
      <c r="N11" s="1348"/>
      <c r="O11" s="1348"/>
      <c r="P11" s="1348"/>
      <c r="Q11" s="1348"/>
      <c r="R11" s="1348"/>
      <c r="S11" s="1348"/>
      <c r="T11" s="1348"/>
      <c r="U11" s="1348"/>
      <c r="V11" s="1348"/>
      <c r="W11" s="1348"/>
      <c r="X11" s="1348"/>
      <c r="Y11" s="1348"/>
      <c r="Z11" s="1348"/>
      <c r="AA11" s="1348"/>
      <c r="AB11" s="1348"/>
      <c r="AC11" s="1348"/>
      <c r="AD11" s="1348"/>
      <c r="AE11" s="1348"/>
      <c r="AF11" s="1348"/>
      <c r="AG11" s="1348"/>
      <c r="AH11" s="1348"/>
      <c r="AI11" s="1348"/>
      <c r="AJ11" s="1348"/>
      <c r="AK11" s="1348"/>
      <c r="AL11" s="1348"/>
    </row>
    <row r="12" spans="1:45" ht="13.35" customHeight="1">
      <c r="A12" s="934" t="s">
        <v>697</v>
      </c>
      <c r="B12" s="934"/>
      <c r="C12" s="934"/>
      <c r="D12" s="934"/>
      <c r="E12" s="934"/>
      <c r="F12" s="934"/>
      <c r="G12" s="934"/>
      <c r="H12" s="934"/>
      <c r="I12" s="934"/>
      <c r="J12" s="934"/>
      <c r="K12" s="934"/>
      <c r="L12" s="934"/>
      <c r="M12" s="934"/>
      <c r="N12" s="934"/>
      <c r="O12" s="934"/>
      <c r="P12" s="934"/>
      <c r="Q12" s="934"/>
      <c r="R12" s="934"/>
      <c r="S12" s="934"/>
      <c r="T12" s="934"/>
      <c r="U12" s="934"/>
      <c r="V12" s="934"/>
      <c r="W12" s="934"/>
      <c r="X12" s="934"/>
      <c r="Y12" s="934"/>
      <c r="Z12" s="934"/>
      <c r="AA12" s="934"/>
      <c r="AB12" s="934"/>
      <c r="AC12" s="934"/>
      <c r="AD12" s="934"/>
      <c r="AE12" s="934"/>
      <c r="AF12" s="934"/>
      <c r="AG12" s="934"/>
      <c r="AH12" s="934"/>
      <c r="AI12" s="934"/>
      <c r="AJ12" s="934"/>
      <c r="AK12" s="934"/>
      <c r="AL12" s="934"/>
    </row>
    <row r="13" spans="1:45" ht="13.35" customHeight="1" thickBot="1">
      <c r="A13" s="936"/>
      <c r="B13" s="936"/>
      <c r="C13" s="936"/>
      <c r="D13" s="936"/>
      <c r="E13" s="936"/>
      <c r="F13" s="936"/>
      <c r="G13" s="936"/>
      <c r="H13" s="936"/>
      <c r="I13" s="936"/>
      <c r="J13" s="936"/>
      <c r="K13" s="936"/>
      <c r="L13" s="936"/>
      <c r="M13" s="936"/>
      <c r="N13" s="936"/>
      <c r="O13" s="936"/>
      <c r="P13" s="936"/>
      <c r="Q13" s="936"/>
      <c r="R13" s="936"/>
      <c r="S13" s="936"/>
      <c r="T13" s="936"/>
      <c r="U13" s="936"/>
      <c r="V13" s="936"/>
      <c r="W13" s="936"/>
      <c r="X13" s="936"/>
      <c r="Y13" s="936"/>
      <c r="Z13" s="936"/>
      <c r="AA13" s="936"/>
      <c r="AB13" s="936"/>
      <c r="AC13" s="936"/>
      <c r="AD13" s="936"/>
      <c r="AE13" s="936"/>
      <c r="AF13" s="936"/>
      <c r="AG13" s="936"/>
      <c r="AH13" s="936"/>
      <c r="AI13" s="936"/>
      <c r="AJ13" s="936"/>
      <c r="AK13" s="936"/>
      <c r="AL13" s="936"/>
    </row>
    <row r="14" spans="1:45" ht="13.35" customHeight="1" thickTop="1">
      <c r="A14" s="84"/>
      <c r="B14" s="84"/>
      <c r="C14" s="84"/>
      <c r="D14" s="84"/>
      <c r="E14" s="84"/>
      <c r="F14" s="84"/>
      <c r="G14" s="84"/>
      <c r="AC14" s="84"/>
      <c r="AD14" s="84"/>
      <c r="AE14" s="84"/>
      <c r="AF14" s="84"/>
      <c r="AG14" s="84"/>
      <c r="AH14" s="84"/>
      <c r="AI14" s="84"/>
      <c r="AJ14" s="84"/>
      <c r="AK14" s="84"/>
      <c r="AL14" s="84"/>
    </row>
    <row r="15" spans="1:45" ht="13.35" customHeight="1">
      <c r="A15" s="56" t="s">
        <v>698</v>
      </c>
      <c r="C15" s="37"/>
      <c r="D15" s="37"/>
      <c r="E15" s="37"/>
      <c r="F15" s="37"/>
      <c r="G15" s="37"/>
      <c r="H15" s="1227" t="s">
        <v>699</v>
      </c>
      <c r="I15" s="1227"/>
      <c r="J15" s="1227"/>
      <c r="K15" s="1227"/>
      <c r="L15" s="1227"/>
      <c r="M15" s="1227"/>
      <c r="N15" s="1227"/>
      <c r="O15" s="1227"/>
      <c r="P15" s="1227"/>
      <c r="Q15" s="1227"/>
      <c r="R15" s="1227"/>
      <c r="S15" s="1227"/>
      <c r="T15" s="1227"/>
      <c r="U15" s="1227"/>
      <c r="V15" s="1227"/>
      <c r="W15" s="1227"/>
      <c r="X15" s="1227"/>
      <c r="Y15" s="1227"/>
      <c r="Z15" s="1227"/>
      <c r="AA15" s="1227"/>
      <c r="AB15" s="1227"/>
      <c r="AC15" s="1227"/>
      <c r="AD15" s="1227"/>
      <c r="AE15" s="1227"/>
      <c r="AF15" s="1227"/>
      <c r="AG15" s="1227"/>
      <c r="AH15" s="1227"/>
      <c r="AI15" s="1227"/>
      <c r="AJ15" s="1227"/>
    </row>
    <row r="16" spans="1:45" ht="13.35" customHeight="1"/>
    <row r="17" spans="1:40" ht="13.35" customHeight="1">
      <c r="A17" s="56" t="s">
        <v>700</v>
      </c>
      <c r="C17" s="37"/>
      <c r="D17" s="37"/>
      <c r="E17" s="37"/>
      <c r="F17" s="37"/>
      <c r="G17" s="37"/>
      <c r="H17" s="1070" t="s">
        <v>701</v>
      </c>
      <c r="I17" s="1070"/>
      <c r="J17" s="1070"/>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row>
    <row r="18" spans="1:40" ht="13.35" customHeight="1"/>
    <row r="19" spans="1:40" ht="13.35" customHeight="1">
      <c r="A19" s="951" t="s">
        <v>702</v>
      </c>
      <c r="B19" s="951"/>
      <c r="C19" s="951"/>
      <c r="D19" s="951"/>
      <c r="E19" s="951"/>
      <c r="F19" s="951"/>
      <c r="G19" s="951"/>
      <c r="H19" s="951"/>
      <c r="I19" s="951"/>
      <c r="J19" s="951"/>
      <c r="K19" s="951"/>
      <c r="L19" s="951"/>
      <c r="M19" s="951"/>
      <c r="N19" s="951"/>
      <c r="O19" s="951"/>
      <c r="P19" s="951"/>
      <c r="Q19" s="951"/>
      <c r="R19" s="951"/>
      <c r="S19" s="951"/>
      <c r="T19" s="951"/>
      <c r="U19" s="951"/>
      <c r="V19" s="951"/>
      <c r="W19" s="951"/>
      <c r="X19" s="951"/>
      <c r="Y19" s="951"/>
      <c r="Z19" s="951"/>
      <c r="AA19" s="951"/>
      <c r="AB19" s="951"/>
      <c r="AC19" s="951"/>
      <c r="AD19" s="951"/>
      <c r="AE19" s="951"/>
      <c r="AF19" s="951"/>
      <c r="AG19" s="951"/>
      <c r="AH19" s="951"/>
      <c r="AI19" s="951"/>
      <c r="AJ19" s="951"/>
      <c r="AK19" s="951"/>
      <c r="AL19" s="951"/>
    </row>
    <row r="20" spans="1:40" ht="13.35" customHeight="1">
      <c r="A20" s="1349" t="s">
        <v>703</v>
      </c>
      <c r="B20" s="1349"/>
      <c r="C20" s="1349"/>
      <c r="D20" s="1349"/>
      <c r="E20" s="1349"/>
      <c r="F20" s="1349"/>
      <c r="G20" s="1349"/>
      <c r="H20" s="1349"/>
      <c r="I20" s="1349"/>
      <c r="J20" s="1349"/>
      <c r="K20" s="1349"/>
      <c r="L20" s="1349"/>
      <c r="M20" s="1349"/>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c r="AL20" s="1349"/>
    </row>
    <row r="21" spans="1:40" ht="13.3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3.35" customHeight="1">
      <c r="A22" s="831" t="s">
        <v>704</v>
      </c>
      <c r="C22" s="684"/>
      <c r="D22" s="684"/>
      <c r="E22" s="684"/>
      <c r="F22" s="684"/>
      <c r="G22" s="684"/>
      <c r="H22" s="684"/>
      <c r="I22" s="684"/>
      <c r="J22" s="684"/>
      <c r="K22" s="684"/>
      <c r="L22" s="684"/>
      <c r="M22" s="684"/>
      <c r="N22" s="684"/>
      <c r="O22" s="684"/>
      <c r="P22" s="684"/>
      <c r="Q22" s="684"/>
      <c r="R22" s="684"/>
      <c r="S22" s="684"/>
      <c r="T22" s="684"/>
      <c r="U22" s="684"/>
      <c r="V22" s="684"/>
      <c r="W22" s="684"/>
      <c r="X22" s="684"/>
      <c r="Y22" s="684"/>
      <c r="Z22" s="684"/>
      <c r="AA22" s="26"/>
      <c r="AB22" s="26"/>
      <c r="AC22" s="26"/>
      <c r="AD22" s="26"/>
      <c r="AE22" s="26"/>
      <c r="AF22" s="26"/>
      <c r="AG22" s="26"/>
      <c r="AH22" s="26"/>
      <c r="AI22" s="26"/>
      <c r="AJ22" s="26"/>
      <c r="AK22" s="26"/>
      <c r="AL22" s="26"/>
      <c r="AM22" s="26"/>
    </row>
    <row r="23" spans="1:40" ht="13.35" customHeight="1">
      <c r="A23" s="831" t="s">
        <v>705</v>
      </c>
      <c r="C23" s="684"/>
      <c r="D23" s="684"/>
      <c r="E23" s="684"/>
      <c r="F23" s="684"/>
      <c r="G23" s="684"/>
      <c r="H23" s="684"/>
      <c r="I23" s="684"/>
      <c r="J23" s="684"/>
      <c r="K23" s="684"/>
      <c r="L23" s="684"/>
      <c r="M23" s="684"/>
      <c r="N23" s="684"/>
      <c r="O23" s="684"/>
      <c r="P23" s="684"/>
      <c r="Q23" s="684"/>
      <c r="R23" s="684"/>
      <c r="S23" s="684"/>
      <c r="T23" s="684"/>
      <c r="U23" s="684"/>
      <c r="V23" s="684"/>
      <c r="W23" s="684"/>
      <c r="X23" s="684"/>
      <c r="Y23" s="684"/>
      <c r="Z23" s="684"/>
      <c r="AA23" s="26"/>
      <c r="AB23" s="26"/>
      <c r="AC23" s="26"/>
      <c r="AD23" s="26"/>
      <c r="AE23" s="26"/>
      <c r="AF23" s="26"/>
      <c r="AG23" s="26"/>
      <c r="AH23" s="26"/>
      <c r="AI23" s="26"/>
      <c r="AJ23" s="26"/>
      <c r="AK23" s="26"/>
      <c r="AL23" s="26"/>
      <c r="AM23" s="26"/>
    </row>
    <row r="24" spans="1:40" ht="13.3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3.35" customHeight="1">
      <c r="A25" s="37"/>
      <c r="C25" s="37"/>
      <c r="D25" s="37"/>
      <c r="E25" s="37"/>
      <c r="F25" s="37"/>
      <c r="G25" s="37"/>
      <c r="H25" s="37"/>
      <c r="I25" s="37"/>
      <c r="J25" s="37"/>
      <c r="K25" s="37"/>
      <c r="L25" s="37"/>
      <c r="M25" s="1325">
        <f>ROUND('Basis &amp; Credits'!AB55,0)</f>
        <v>1751720</v>
      </c>
      <c r="N25" s="1325"/>
      <c r="O25" s="1325"/>
      <c r="P25" s="1325"/>
      <c r="Q25" s="1325"/>
      <c r="R25" s="37" t="s">
        <v>706</v>
      </c>
      <c r="S25" s="37"/>
      <c r="T25" s="37"/>
      <c r="U25" s="37"/>
      <c r="V25" s="37"/>
      <c r="W25" s="37"/>
      <c r="X25" s="37"/>
      <c r="Y25" s="37"/>
      <c r="Z25" s="37"/>
      <c r="AF25" s="37"/>
      <c r="AG25" s="37"/>
      <c r="AH25" s="37"/>
      <c r="AI25" s="37"/>
      <c r="AJ25" s="37"/>
      <c r="AK25" s="37"/>
    </row>
    <row r="26" spans="1:40" ht="13.3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3.35" customHeight="1">
      <c r="A27" s="37"/>
      <c r="C27" s="37"/>
      <c r="D27" s="37"/>
      <c r="E27" s="37"/>
      <c r="F27" s="37"/>
      <c r="G27" s="37"/>
      <c r="H27" s="37"/>
      <c r="I27" s="37"/>
      <c r="J27" s="37"/>
      <c r="K27" s="37"/>
      <c r="L27" s="37"/>
      <c r="M27" s="1325">
        <f>'Basis &amp; Credits'!AB76</f>
        <v>0</v>
      </c>
      <c r="N27" s="1325"/>
      <c r="O27" s="1325"/>
      <c r="P27" s="1325"/>
      <c r="Q27" s="1325"/>
      <c r="R27" s="37" t="s">
        <v>707</v>
      </c>
      <c r="S27" s="37"/>
      <c r="T27" s="37"/>
      <c r="U27" s="37"/>
      <c r="V27" s="37"/>
      <c r="W27" s="37"/>
      <c r="X27" s="37"/>
      <c r="Y27" s="37"/>
      <c r="Z27" s="37"/>
      <c r="AF27" s="37"/>
      <c r="AG27" s="37"/>
      <c r="AH27" s="37"/>
      <c r="AI27" s="37"/>
      <c r="AJ27" s="37"/>
      <c r="AK27" s="37"/>
    </row>
    <row r="28" spans="1:40" ht="13.3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3.3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3.3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3.3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3.3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3.35" customHeight="1">
      <c r="A33" s="266" t="s">
        <v>711</v>
      </c>
      <c r="C33" s="266"/>
      <c r="D33" s="266"/>
      <c r="E33" s="266"/>
      <c r="F33" s="266"/>
      <c r="G33" s="266"/>
      <c r="H33" s="266"/>
      <c r="I33" s="266"/>
      <c r="J33" s="266"/>
      <c r="K33" s="266"/>
      <c r="L33" s="266"/>
      <c r="M33" s="266"/>
      <c r="N33" s="266"/>
      <c r="O33" s="1069" t="s">
        <v>325</v>
      </c>
      <c r="P33" s="1069"/>
      <c r="Q33" s="266" t="s">
        <v>713</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3.35" customHeight="1">
      <c r="A34" s="37" t="s">
        <v>714</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3.35" customHeight="1">
      <c r="A35" s="37" t="s">
        <v>715</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3.35" customHeight="1">
      <c r="A36" s="37" t="s">
        <v>716</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3.35" customHeight="1">
      <c r="A37" t="s">
        <v>717</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3.35" customHeight="1">
      <c r="A38" t="s">
        <v>718</v>
      </c>
      <c r="AM38" s="19"/>
    </row>
    <row r="39" spans="1:39" ht="13.35" customHeight="1">
      <c r="AM39" s="19"/>
    </row>
    <row r="40" spans="1:39" ht="13.35" customHeight="1">
      <c r="A40" s="266" t="s">
        <v>719</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3.35" customHeight="1">
      <c r="A41" s="266" t="s">
        <v>720</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3.35" customHeight="1">
      <c r="A42" s="266" t="s">
        <v>721</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3.35" customHeight="1">
      <c r="A43" s="266" t="s">
        <v>722</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3.35" customHeight="1">
      <c r="A44" s="266" t="s">
        <v>723</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3.35" customHeight="1">
      <c r="A45" s="266" t="s">
        <v>724</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3.35" customHeight="1">
      <c r="A46" s="266" t="s">
        <v>725</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3.35" customHeight="1">
      <c r="A47" s="266" t="s">
        <v>726</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3.35" customHeight="1">
      <c r="A48" s="266" t="s">
        <v>727</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3.35" customHeight="1">
      <c r="A49" s="266" t="s">
        <v>728</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3.3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3.35" customHeight="1">
      <c r="A51" s="266" t="s">
        <v>729</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3.35" customHeight="1">
      <c r="A52" s="266" t="s">
        <v>730</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3.35" customHeight="1">
      <c r="A53" s="266" t="s">
        <v>731</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3.35" customHeight="1">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3.35" customHeight="1">
      <c r="A55" s="266" t="s">
        <v>732</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3.35" customHeight="1">
      <c r="A56" s="266" t="s">
        <v>733</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3.35" customHeight="1">
      <c r="A57" s="266" t="s">
        <v>734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3.35" customHeight="1">
      <c r="A58" s="266" t="s">
        <v>735</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3.35" customHeight="1">
      <c r="A59" s="266" t="s">
        <v>736</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3.35" customHeight="1">
      <c r="A60" s="266" t="s">
        <v>737</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3.35" customHeight="1">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3.35" customHeight="1">
      <c r="A62" s="232" t="s">
        <v>738</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3.35" customHeight="1">
      <c r="A63" s="232" t="s">
        <v>739</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3.3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3.35" customHeight="1">
      <c r="A65" s="266" t="s">
        <v>740</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3.35" customHeight="1">
      <c r="A66" s="266" t="s">
        <v>741</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3.35" customHeight="1">
      <c r="A67" s="266" t="s">
        <v>742</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3.35" customHeight="1">
      <c r="A68" s="266" t="s">
        <v>743</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3.35" customHeight="1">
      <c r="A69" s="266" t="s">
        <v>744</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3.35" customHeight="1">
      <c r="A70" s="266" t="s">
        <v>745</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3.35" customHeight="1">
      <c r="A71" s="266" t="s">
        <v>746</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3.35"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3.35" customHeight="1">
      <c r="A73" s="266" t="s">
        <v>747</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3.35" customHeight="1">
      <c r="A74" s="266" t="s">
        <v>748</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3.35" customHeight="1">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3.35" customHeight="1">
      <c r="A76" s="266" t="s">
        <v>749</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3.35" customHeight="1">
      <c r="A77" s="266" t="s">
        <v>750</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3.35" customHeight="1">
      <c r="A78" s="266" t="s">
        <v>751</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3.35" customHeight="1">
      <c r="A79" s="266" t="s">
        <v>752</v>
      </c>
      <c r="C79" s="831"/>
      <c r="D79" s="831"/>
      <c r="E79" s="831"/>
      <c r="F79" s="831"/>
      <c r="G79" s="831"/>
      <c r="H79" s="831"/>
      <c r="I79" s="831"/>
      <c r="J79" s="831"/>
      <c r="K79" s="831"/>
      <c r="L79" s="831"/>
      <c r="M79" s="831"/>
      <c r="N79" s="831"/>
      <c r="O79" s="831"/>
      <c r="P79" s="831"/>
      <c r="Q79" s="831"/>
      <c r="R79" s="831"/>
      <c r="S79" s="831"/>
      <c r="T79" s="831"/>
      <c r="U79" s="831"/>
      <c r="V79" s="831"/>
      <c r="W79" s="831"/>
      <c r="X79" s="831"/>
      <c r="Y79" s="831"/>
      <c r="Z79" s="831"/>
      <c r="AA79" s="25"/>
      <c r="AB79" s="25"/>
      <c r="AC79" s="25"/>
      <c r="AD79" s="25"/>
      <c r="AE79" s="25"/>
      <c r="AF79" s="25"/>
      <c r="AG79" s="25"/>
      <c r="AH79" s="25"/>
      <c r="AI79" s="25"/>
      <c r="AJ79" s="25"/>
      <c r="AK79" s="25"/>
      <c r="AL79" s="25"/>
      <c r="AM79" s="19"/>
    </row>
    <row r="80" spans="1:39" ht="13.35" customHeight="1">
      <c r="C80" s="831"/>
      <c r="D80" s="831"/>
      <c r="E80" s="831"/>
      <c r="F80" s="831"/>
      <c r="G80" s="831"/>
      <c r="H80" s="831"/>
      <c r="I80" s="831"/>
      <c r="J80" s="831"/>
      <c r="K80" s="831"/>
      <c r="L80" s="831"/>
      <c r="M80" s="831"/>
      <c r="N80" s="831"/>
      <c r="O80" s="831"/>
      <c r="P80" s="831"/>
      <c r="Q80" s="831"/>
      <c r="R80" s="831"/>
      <c r="S80" s="831"/>
      <c r="T80" s="831"/>
      <c r="U80" s="831"/>
      <c r="V80" s="831"/>
      <c r="W80" s="831"/>
      <c r="X80" s="831"/>
      <c r="Y80" s="831"/>
      <c r="Z80" s="831"/>
      <c r="AA80" s="25"/>
      <c r="AB80" s="25"/>
      <c r="AC80" s="25"/>
      <c r="AD80" s="25"/>
      <c r="AE80" s="25"/>
      <c r="AF80" s="25"/>
      <c r="AG80" s="25"/>
      <c r="AH80" s="25"/>
      <c r="AI80" s="25"/>
      <c r="AJ80" s="25"/>
      <c r="AK80" s="25"/>
      <c r="AL80" s="25"/>
      <c r="AM80" s="19"/>
    </row>
    <row r="81" spans="1:39" ht="13.35" customHeight="1">
      <c r="A81" s="266" t="s">
        <v>753</v>
      </c>
      <c r="C81" s="831"/>
      <c r="D81" s="831"/>
      <c r="E81" s="831"/>
      <c r="F81" s="831"/>
      <c r="G81" s="831"/>
      <c r="H81" s="831"/>
      <c r="I81" s="831"/>
      <c r="J81" s="831"/>
      <c r="K81" s="831"/>
      <c r="L81" s="831"/>
      <c r="M81" s="831"/>
      <c r="N81" s="831"/>
      <c r="O81" s="831"/>
      <c r="P81" s="831"/>
      <c r="Q81" s="831"/>
      <c r="R81" s="831"/>
      <c r="S81" s="831"/>
      <c r="T81" s="831"/>
      <c r="U81" s="831"/>
      <c r="V81" s="831"/>
      <c r="W81" s="831"/>
      <c r="X81" s="831"/>
      <c r="Y81" s="831"/>
      <c r="Z81" s="831"/>
      <c r="AA81" s="25"/>
      <c r="AB81" s="25"/>
      <c r="AC81" s="25"/>
      <c r="AD81" s="25"/>
      <c r="AE81" s="25"/>
      <c r="AF81" s="25"/>
      <c r="AG81" s="25"/>
      <c r="AH81" s="25"/>
      <c r="AI81" s="25"/>
      <c r="AJ81" s="25"/>
      <c r="AK81" s="25"/>
      <c r="AL81" s="25"/>
      <c r="AM81" s="19"/>
    </row>
    <row r="82" spans="1:39" ht="13.35" customHeight="1">
      <c r="A82" s="266" t="s">
        <v>754</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3.35" customHeight="1">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3.35" customHeight="1">
      <c r="A84" s="831" t="s">
        <v>755</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3.35" customHeight="1">
      <c r="A85" s="831" t="s">
        <v>756</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3.35" customHeight="1"/>
    <row r="87" spans="1:39" ht="13.35" customHeight="1">
      <c r="A87" s="266" t="s">
        <v>757</v>
      </c>
      <c r="AM87" s="19"/>
    </row>
    <row r="88" spans="1:39" ht="13.35" customHeight="1">
      <c r="A88" s="266" t="s">
        <v>758</v>
      </c>
      <c r="AM88" s="19"/>
    </row>
    <row r="89" spans="1:39" ht="13.35" customHeight="1">
      <c r="A89" s="266" t="s">
        <v>759</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3.3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3.35" customHeight="1">
      <c r="A91" s="266" t="s">
        <v>760</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3.35" customHeight="1">
      <c r="A92" s="266" t="s">
        <v>761</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3.35" customHeight="1">
      <c r="A93" s="266" t="s">
        <v>762</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3.35" customHeight="1">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3.35" customHeight="1">
      <c r="A95" s="266" t="s">
        <v>763</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3.35" customHeight="1">
      <c r="A96" s="266" t="s">
        <v>764</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3.35" customHeight="1">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3.35" customHeight="1">
      <c r="A98" s="266" t="s">
        <v>765</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3.35" customHeight="1">
      <c r="A99" s="266" t="s">
        <v>766</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3.35" customHeight="1">
      <c r="A100" s="266" t="s">
        <v>767</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3.3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3.35" customHeight="1">
      <c r="A102" s="266" t="s">
        <v>768</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3.35" customHeight="1">
      <c r="A103" s="266" t="s">
        <v>769</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3.35" customHeight="1">
      <c r="A104" s="266" t="s">
        <v>770</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3.35" customHeight="1">
      <c r="A105" s="266" t="s">
        <v>771</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3.35" customHeight="1">
      <c r="A106" t="s">
        <v>772</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3.35" customHeight="1">
      <c r="A107" t="s">
        <v>773</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3.35" customHeight="1">
      <c r="A108" s="266" t="s">
        <v>774</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3.35" customHeight="1">
      <c r="A109" s="266" t="s">
        <v>775</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3.35" customHeight="1">
      <c r="A110" s="266" t="s">
        <v>776</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3.35" customHeight="1">
      <c r="A111" s="266" t="s">
        <v>777</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3.35" customHeight="1">
      <c r="A112" s="266" t="s">
        <v>778</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3.35" customHeight="1">
      <c r="A113" s="266" t="s">
        <v>779</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3.3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3.35" customHeight="1">
      <c r="A115" s="266" t="s">
        <v>780</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3.35" customHeight="1">
      <c r="A116" s="266" t="s">
        <v>781</v>
      </c>
    </row>
    <row r="117" spans="1:39" ht="13.35" customHeight="1">
      <c r="A117" s="266" t="s">
        <v>782</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3.35" customHeight="1">
      <c r="A118" s="266" t="s">
        <v>783</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3.3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3.35" customHeight="1">
      <c r="A120" s="266" t="s">
        <v>784</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3.35" customHeight="1">
      <c r="A121" s="266" t="s">
        <v>785</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3.35" customHeight="1">
      <c r="A122" s="266" t="s">
        <v>786</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3.35" customHeight="1"/>
    <row r="124" spans="1:39" ht="13.35" customHeight="1">
      <c r="A124" s="266" t="s">
        <v>787</v>
      </c>
    </row>
    <row r="125" spans="1:39" ht="13.35" customHeight="1">
      <c r="A125" s="266" t="s">
        <v>788</v>
      </c>
      <c r="V125" s="37"/>
      <c r="W125" s="37"/>
      <c r="AL125" s="37"/>
    </row>
    <row r="126" spans="1:39" ht="13.35" customHeight="1">
      <c r="A126" s="37"/>
      <c r="B126" s="37"/>
      <c r="AL126" s="37"/>
    </row>
    <row r="127" spans="1:39" ht="13.35" customHeight="1">
      <c r="A127" s="37"/>
      <c r="B127" s="37"/>
      <c r="AL127" s="37"/>
    </row>
    <row r="128" spans="1:39" ht="13.35" customHeight="1">
      <c r="A128" s="37"/>
      <c r="B128" s="37"/>
      <c r="C128" s="37" t="s">
        <v>789</v>
      </c>
      <c r="E128" s="37"/>
      <c r="F128" s="37"/>
      <c r="G128" s="1071">
        <v>22</v>
      </c>
      <c r="H128" s="1071"/>
      <c r="I128" s="37" t="s">
        <v>790</v>
      </c>
      <c r="J128" s="37"/>
      <c r="L128" s="1239" t="s">
        <v>791</v>
      </c>
      <c r="M128" s="1239"/>
      <c r="N128" s="1239"/>
      <c r="O128" s="37" t="s">
        <v>792</v>
      </c>
      <c r="P128" s="37"/>
      <c r="Q128" s="37"/>
      <c r="R128" s="37"/>
      <c r="S128" s="37"/>
      <c r="T128" s="37"/>
      <c r="U128" s="37"/>
      <c r="V128" s="37"/>
      <c r="W128" s="37"/>
      <c r="X128" s="37" t="s">
        <v>793</v>
      </c>
      <c r="Y128" s="339"/>
      <c r="Z128" s="339"/>
      <c r="AA128" s="339"/>
      <c r="AB128" s="339"/>
      <c r="AC128" s="339"/>
      <c r="AD128" s="339"/>
      <c r="AE128" s="339"/>
      <c r="AF128" s="339"/>
      <c r="AG128" s="339"/>
      <c r="AH128" s="339"/>
      <c r="AI128" s="339"/>
      <c r="AJ128" s="339"/>
      <c r="AK128" s="339"/>
      <c r="AL128" s="37"/>
    </row>
    <row r="129" spans="1:56" ht="13.35"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794</v>
      </c>
      <c r="AA129" s="37"/>
      <c r="AB129" s="37"/>
      <c r="AC129" s="37"/>
      <c r="AD129" s="37"/>
      <c r="AE129" s="37"/>
      <c r="AF129" s="37"/>
      <c r="AG129" s="37"/>
      <c r="AH129" s="37"/>
      <c r="AI129" s="37"/>
      <c r="AJ129" s="37"/>
      <c r="AK129" s="37"/>
      <c r="AL129" s="37"/>
    </row>
    <row r="130" spans="1:56" ht="13.35" customHeight="1">
      <c r="A130" s="37"/>
      <c r="B130" s="37"/>
      <c r="C130" s="1239" t="s">
        <v>795</v>
      </c>
      <c r="D130" s="1239"/>
      <c r="E130" s="1239"/>
      <c r="F130" s="1239"/>
      <c r="G130" s="1239"/>
      <c r="H130" s="1239"/>
      <c r="I130" s="1239"/>
      <c r="J130" s="1239"/>
      <c r="K130" s="1239"/>
      <c r="L130" s="263" t="s">
        <v>796</v>
      </c>
      <c r="M130" s="37"/>
      <c r="O130" s="37"/>
      <c r="P130" s="37"/>
      <c r="Q130" s="37"/>
      <c r="R130" s="37"/>
      <c r="S130" s="37"/>
      <c r="T130" s="37"/>
      <c r="U130" s="37"/>
      <c r="V130" s="37"/>
      <c r="W130" s="37"/>
      <c r="X130" s="37"/>
      <c r="AL130" s="37"/>
    </row>
    <row r="131" spans="1:56" ht="13.3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070" t="s">
        <v>797</v>
      </c>
      <c r="Z131" s="1070"/>
      <c r="AA131" s="1070"/>
      <c r="AB131" s="1070"/>
      <c r="AC131" s="1070"/>
      <c r="AD131" s="1070"/>
      <c r="AE131" s="1070"/>
      <c r="AF131" s="1070"/>
      <c r="AG131" s="1070"/>
      <c r="AH131" s="1070"/>
      <c r="AI131" s="1070"/>
      <c r="AJ131" s="1070"/>
      <c r="AK131" s="1070"/>
      <c r="AL131" s="37"/>
    </row>
    <row r="132" spans="1:56" ht="13.3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798</v>
      </c>
      <c r="AA132" s="37"/>
      <c r="AB132" s="37"/>
      <c r="AC132" s="37"/>
      <c r="AD132" s="37"/>
      <c r="AE132" s="37"/>
      <c r="AF132" s="37"/>
      <c r="AG132" s="37"/>
      <c r="AH132" s="37"/>
      <c r="AI132" s="37"/>
      <c r="AJ132" s="37"/>
      <c r="AK132" s="37"/>
      <c r="AL132" s="37"/>
    </row>
    <row r="133" spans="1:56" ht="13.35" customHeight="1">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3.3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070" t="s">
        <v>799</v>
      </c>
      <c r="Z134" s="1070"/>
      <c r="AA134" s="1070"/>
      <c r="AB134" s="1070"/>
      <c r="AC134" s="1070"/>
      <c r="AD134" s="1070"/>
      <c r="AE134" s="1070"/>
      <c r="AF134" s="1070"/>
      <c r="AG134" s="1070"/>
      <c r="AH134" s="1070"/>
      <c r="AI134" s="1070"/>
      <c r="AJ134" s="1070"/>
      <c r="AK134" s="1070"/>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35" customHeight="1">
      <c r="A135" s="414"/>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800</v>
      </c>
      <c r="AA135" s="37"/>
      <c r="AB135" s="37"/>
      <c r="AC135" s="37"/>
      <c r="AD135" s="37"/>
      <c r="AE135" s="37"/>
      <c r="AF135" s="37"/>
      <c r="AG135" s="37"/>
      <c r="AH135" s="37"/>
      <c r="AI135" s="37"/>
      <c r="AJ135" s="37"/>
      <c r="AK135" s="37"/>
      <c r="AL135" s="414"/>
      <c r="AM135" s="37"/>
      <c r="AN135" s="37"/>
      <c r="AO135" s="37"/>
      <c r="AP135" s="37"/>
      <c r="AQ135" s="37"/>
      <c r="AR135" s="37"/>
      <c r="AS135" s="37"/>
      <c r="AT135" s="37"/>
      <c r="AU135" s="37"/>
      <c r="AV135" s="37"/>
      <c r="AW135" s="37"/>
      <c r="AX135" s="37"/>
      <c r="AY135" s="37"/>
      <c r="AZ135" s="37"/>
      <c r="BA135" s="37"/>
      <c r="BB135" s="37"/>
      <c r="BC135" s="37"/>
      <c r="BD135" s="37"/>
    </row>
    <row r="136" spans="1:56" ht="13.35" customHeight="1">
      <c r="A136" s="414"/>
      <c r="B136" s="37"/>
      <c r="AL136" s="414"/>
    </row>
    <row r="137" spans="1:56" ht="13.35" customHeight="1">
      <c r="A137" s="37"/>
      <c r="B137" s="37"/>
      <c r="AL137" s="37"/>
    </row>
    <row r="138" spans="1:56" ht="13.35" customHeight="1">
      <c r="A138" s="37"/>
      <c r="AL138" s="37"/>
    </row>
    <row r="139" spans="1:56" ht="13.35" customHeight="1">
      <c r="A139" s="37"/>
      <c r="AL139" s="37"/>
    </row>
    <row r="140" spans="1:56" ht="13.35" customHeight="1">
      <c r="A140" s="37"/>
      <c r="AL140" s="37"/>
    </row>
    <row r="141" spans="1:56" ht="13.35" customHeight="1">
      <c r="A141" s="37"/>
      <c r="AL141" s="37"/>
    </row>
    <row r="142" spans="1:56" ht="13.35" customHeight="1">
      <c r="A142" s="37"/>
      <c r="AL142" s="37"/>
    </row>
    <row r="143" spans="1:56" ht="13.35" customHeight="1">
      <c r="A143" s="37"/>
      <c r="AL143" s="37"/>
    </row>
    <row r="144" spans="1:56" ht="13.35" customHeight="1">
      <c r="A144" s="37"/>
      <c r="AL144" s="37"/>
    </row>
    <row r="145" spans="1:72" ht="13.3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35"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3.35"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3.35"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3.35"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3.3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3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3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3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3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3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35" customHeight="1">
      <c r="D156" t="s">
        <v>801</v>
      </c>
      <c r="O156" s="1070" t="s">
        <v>802</v>
      </c>
      <c r="P156" s="1070"/>
      <c r="Q156" s="1070"/>
      <c r="R156" s="1070"/>
      <c r="S156" s="1070"/>
      <c r="T156" s="1070"/>
      <c r="U156" s="1070"/>
      <c r="V156" s="1070"/>
      <c r="W156" s="1070"/>
      <c r="X156" s="1070"/>
      <c r="Y156" s="1070"/>
      <c r="Z156" s="1070"/>
      <c r="AA156" s="1070"/>
      <c r="AB156" s="1070"/>
      <c r="AC156" s="1070"/>
      <c r="AD156" s="1070"/>
      <c r="AE156" s="1070"/>
      <c r="AF156" s="1070"/>
      <c r="AG156" s="1070"/>
      <c r="AH156" s="1070"/>
      <c r="BT156" t="s">
        <v>320</v>
      </c>
    </row>
    <row r="157" spans="1:72" ht="13.35" customHeight="1">
      <c r="D157" s="280" t="s">
        <v>803</v>
      </c>
      <c r="O157" s="1093" t="s">
        <v>804</v>
      </c>
      <c r="P157" s="1093"/>
      <c r="Q157" s="1093"/>
      <c r="R157" s="1093"/>
      <c r="S157" s="1093"/>
      <c r="T157" s="1093"/>
      <c r="U157" s="1093"/>
      <c r="V157" s="1093"/>
      <c r="W157" s="1093"/>
      <c r="X157" s="1093"/>
      <c r="Y157" s="1093"/>
      <c r="Z157" s="1093"/>
      <c r="AA157" s="1093"/>
      <c r="AB157" s="1093"/>
      <c r="AC157" s="1093"/>
      <c r="AD157" s="1093"/>
      <c r="AE157" s="1093"/>
      <c r="AF157" s="1093"/>
      <c r="AG157" s="1093"/>
      <c r="AH157" s="1093"/>
      <c r="AI157" t="s">
        <v>805</v>
      </c>
      <c r="BN157" s="228" t="s">
        <v>806</v>
      </c>
      <c r="BT157" t="s">
        <v>807</v>
      </c>
    </row>
    <row r="158" spans="1:72" ht="13.35" customHeight="1">
      <c r="D158" s="12" t="s">
        <v>808</v>
      </c>
      <c r="F158" s="12"/>
      <c r="G158" s="12"/>
      <c r="H158" s="12"/>
      <c r="I158" s="12"/>
      <c r="J158" s="12"/>
      <c r="K158" s="12"/>
      <c r="L158" s="12"/>
      <c r="M158" s="12"/>
      <c r="N158" s="12"/>
      <c r="O158" s="1237" t="s">
        <v>809</v>
      </c>
      <c r="P158" s="1237"/>
      <c r="Q158" s="1237"/>
      <c r="R158" s="1237"/>
      <c r="S158" s="1237"/>
      <c r="T158" s="1237"/>
      <c r="U158" s="1237"/>
      <c r="V158" s="1237"/>
      <c r="W158" s="1237"/>
      <c r="X158" s="1237"/>
      <c r="Y158" s="1237"/>
      <c r="Z158" s="1237"/>
      <c r="AA158" s="1237"/>
      <c r="AB158" s="1237"/>
      <c r="AC158" s="1237"/>
      <c r="AD158" s="1237"/>
      <c r="AE158" s="1237"/>
      <c r="AF158" s="1237"/>
      <c r="AG158" s="1237"/>
      <c r="AH158" s="1237"/>
      <c r="BN158" s="228" t="s">
        <v>810</v>
      </c>
      <c r="BT158" t="s">
        <v>811</v>
      </c>
    </row>
    <row r="159" spans="1:72" ht="13.35" customHeight="1">
      <c r="D159" t="s">
        <v>812</v>
      </c>
      <c r="O159" s="1044" t="s">
        <v>813</v>
      </c>
      <c r="P159" s="1044"/>
      <c r="Q159" s="1044"/>
      <c r="R159" s="1044"/>
      <c r="S159" s="1044"/>
      <c r="T159" s="1044"/>
      <c r="U159" s="1044"/>
      <c r="V159" s="1044"/>
      <c r="W159" s="1044"/>
      <c r="X159" s="1044"/>
      <c r="Y159" s="1044"/>
      <c r="Z159" s="1044"/>
      <c r="AA159" s="1044"/>
      <c r="AB159" s="1044"/>
      <c r="AC159" s="1044"/>
      <c r="AD159" s="1044"/>
      <c r="AE159" s="1044"/>
      <c r="AF159" s="1044"/>
      <c r="AG159" s="1044"/>
      <c r="AH159" s="1044"/>
      <c r="BN159" s="228" t="s">
        <v>814</v>
      </c>
      <c r="BT159" t="s">
        <v>815</v>
      </c>
    </row>
    <row r="160" spans="1:72" ht="13.35" customHeight="1">
      <c r="D160" t="s">
        <v>816</v>
      </c>
      <c r="O160" s="1070" t="s">
        <v>817</v>
      </c>
      <c r="P160" s="1070"/>
      <c r="Q160" s="1070"/>
      <c r="R160" s="1070"/>
      <c r="S160" s="1070"/>
      <c r="T160" s="1070"/>
      <c r="U160" s="1070"/>
      <c r="V160" s="1070"/>
      <c r="W160" s="1070"/>
      <c r="X160" s="1070"/>
      <c r="Y160" s="12"/>
      <c r="Z160" s="12"/>
      <c r="AA160" s="12"/>
      <c r="AB160" s="12"/>
      <c r="AC160" s="12"/>
      <c r="AD160" s="12"/>
      <c r="AE160" s="12"/>
      <c r="AF160" s="12"/>
      <c r="BN160" s="228" t="s">
        <v>818</v>
      </c>
      <c r="BT160" t="s">
        <v>819</v>
      </c>
    </row>
    <row r="161" spans="1:72" ht="13.35" customHeight="1">
      <c r="D161" t="s">
        <v>820</v>
      </c>
      <c r="O161" s="1242">
        <v>90670</v>
      </c>
      <c r="P161" s="1242"/>
      <c r="Q161" s="1242"/>
      <c r="R161" s="1242"/>
      <c r="S161" s="13"/>
      <c r="T161" s="13"/>
      <c r="U161" s="13"/>
      <c r="V161" s="13"/>
      <c r="W161" s="13"/>
      <c r="X161" s="13"/>
      <c r="Y161" s="13"/>
      <c r="Z161" s="13"/>
      <c r="AA161" s="13"/>
      <c r="AB161" s="13"/>
      <c r="AC161" s="13"/>
      <c r="AD161" s="13"/>
      <c r="AE161" s="13"/>
      <c r="AF161" s="13"/>
      <c r="BJ161" t="s">
        <v>712</v>
      </c>
      <c r="BN161" s="228" t="s">
        <v>821</v>
      </c>
      <c r="BT161" t="s">
        <v>822</v>
      </c>
    </row>
    <row r="162" spans="1:72" ht="13.35" customHeight="1">
      <c r="D162" t="s">
        <v>823</v>
      </c>
      <c r="O162" s="1231" t="s">
        <v>824</v>
      </c>
      <c r="P162" s="1231"/>
      <c r="Q162" s="1231"/>
      <c r="R162" s="1231"/>
      <c r="S162" s="1231"/>
      <c r="T162" s="1231"/>
      <c r="V162" s="157" t="s">
        <v>825</v>
      </c>
      <c r="W162" s="1243"/>
      <c r="X162" s="1243"/>
      <c r="Y162" s="14"/>
      <c r="Z162" s="14"/>
      <c r="AA162" s="14"/>
      <c r="AB162" s="14"/>
      <c r="AC162" s="14"/>
      <c r="AD162" s="14"/>
      <c r="AE162" s="14"/>
      <c r="AF162" s="14"/>
      <c r="BJ162" t="s">
        <v>826</v>
      </c>
      <c r="BN162" s="228" t="s">
        <v>827</v>
      </c>
      <c r="BT162" t="s">
        <v>828</v>
      </c>
    </row>
    <row r="163" spans="1:72" ht="13.35" customHeight="1">
      <c r="D163" t="s">
        <v>829</v>
      </c>
      <c r="O163" s="1231" t="s">
        <v>830</v>
      </c>
      <c r="P163" s="1231"/>
      <c r="Q163" s="1231"/>
      <c r="R163" s="1231"/>
      <c r="S163" s="1231"/>
      <c r="T163" s="1231"/>
      <c r="U163" s="14"/>
      <c r="V163" s="14"/>
      <c r="W163" s="14"/>
      <c r="X163" s="14"/>
      <c r="Y163" s="14"/>
      <c r="Z163" s="14"/>
      <c r="AA163" s="14"/>
      <c r="AB163" s="14"/>
      <c r="AC163" s="14"/>
      <c r="AD163" s="14"/>
      <c r="AE163" s="14"/>
      <c r="AF163" s="14"/>
      <c r="BN163" s="228" t="s">
        <v>831</v>
      </c>
      <c r="BT163" t="s">
        <v>832</v>
      </c>
    </row>
    <row r="164" spans="1:72" ht="13.35" customHeight="1">
      <c r="D164" t="s">
        <v>833</v>
      </c>
      <c r="O164" s="1092" t="s">
        <v>834</v>
      </c>
      <c r="P164" s="1092"/>
      <c r="Q164" s="1092"/>
      <c r="R164" s="1092"/>
      <c r="S164" s="1092"/>
      <c r="T164" s="1092"/>
      <c r="U164" s="1092"/>
      <c r="V164" s="1092"/>
      <c r="W164" s="1092"/>
      <c r="X164" s="1092"/>
      <c r="Y164" s="1092"/>
      <c r="Z164" s="1092"/>
      <c r="AA164" s="1092"/>
      <c r="AB164" s="1092"/>
      <c r="AC164" s="1092"/>
      <c r="AD164" s="1092"/>
      <c r="AE164" s="1092"/>
      <c r="AF164" s="1092"/>
      <c r="AG164" s="1092"/>
      <c r="AH164" s="1092"/>
      <c r="BN164" s="228" t="s">
        <v>835</v>
      </c>
      <c r="BT164" t="s">
        <v>836</v>
      </c>
    </row>
    <row r="165" spans="1:72" ht="13.35" customHeight="1">
      <c r="C165" s="31"/>
      <c r="D165" s="231"/>
      <c r="E165" s="231"/>
      <c r="F165" s="231"/>
      <c r="G165" s="231"/>
      <c r="H165" s="231"/>
      <c r="I165" s="231"/>
      <c r="J165" s="231"/>
      <c r="K165" s="231"/>
      <c r="L165" s="231"/>
      <c r="M165" s="231"/>
      <c r="N165" s="231"/>
      <c r="O165" s="874"/>
      <c r="P165" s="874"/>
      <c r="Q165" s="874"/>
      <c r="R165" s="874"/>
      <c r="S165" s="874"/>
      <c r="T165" s="874"/>
      <c r="U165" s="874"/>
      <c r="V165" s="874"/>
      <c r="W165" s="874"/>
      <c r="X165" s="874"/>
      <c r="Y165" s="874"/>
      <c r="Z165" s="874"/>
      <c r="AA165" s="225"/>
      <c r="AB165" s="225"/>
      <c r="AC165" s="225"/>
      <c r="AD165" s="225"/>
      <c r="AE165" s="225"/>
      <c r="AF165" s="225"/>
      <c r="AG165" s="225"/>
      <c r="AH165" s="225"/>
      <c r="BN165" s="228" t="s">
        <v>837</v>
      </c>
      <c r="BT165" t="s">
        <v>838</v>
      </c>
    </row>
    <row r="166" spans="1:72" ht="13.35" customHeight="1">
      <c r="C166" s="31" t="s">
        <v>805</v>
      </c>
      <c r="D166" t="s">
        <v>839</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840</v>
      </c>
      <c r="BT166" t="s">
        <v>841</v>
      </c>
    </row>
    <row r="167" spans="1:72" ht="13.35" customHeight="1">
      <c r="C167" s="31"/>
      <c r="D167" s="1241" t="s">
        <v>842</v>
      </c>
      <c r="E167" s="1241"/>
      <c r="F167" s="1241"/>
      <c r="G167" s="1241"/>
      <c r="H167" s="1241"/>
      <c r="I167" s="1241"/>
      <c r="J167" s="1241"/>
      <c r="K167" s="1241"/>
      <c r="L167" s="1241"/>
      <c r="M167" s="1241"/>
      <c r="N167" s="1241"/>
      <c r="O167" s="1241"/>
      <c r="P167" s="1241"/>
      <c r="Q167" s="1241"/>
      <c r="R167" s="1241"/>
      <c r="S167" s="1241"/>
      <c r="T167" s="1241"/>
      <c r="U167" s="1241"/>
      <c r="V167" s="1241"/>
      <c r="W167" s="1241"/>
      <c r="X167" s="1241"/>
      <c r="Y167" s="1241"/>
      <c r="Z167" s="874"/>
      <c r="AA167" s="225"/>
      <c r="AB167" s="225"/>
      <c r="AC167" s="225"/>
      <c r="AD167" s="225"/>
      <c r="AE167" s="225"/>
      <c r="AF167" s="225"/>
      <c r="AG167" s="225"/>
      <c r="AH167" s="225"/>
      <c r="BN167" s="228" t="s">
        <v>843</v>
      </c>
      <c r="BT167" t="s">
        <v>844</v>
      </c>
    </row>
    <row r="168" spans="1:72" ht="13.35" customHeight="1">
      <c r="BN168" s="228" t="s">
        <v>845</v>
      </c>
      <c r="BT168" t="s">
        <v>846</v>
      </c>
    </row>
    <row r="169" spans="1:72" ht="13.35" customHeight="1">
      <c r="A169" s="1229" t="s">
        <v>847</v>
      </c>
      <c r="B169" s="1229"/>
      <c r="C169" s="1229"/>
      <c r="D169" s="1229"/>
      <c r="E169" s="1229"/>
      <c r="F169" s="1229"/>
      <c r="G169" s="1229"/>
      <c r="H169" s="1229"/>
      <c r="I169" s="1229"/>
      <c r="J169" s="1229"/>
      <c r="K169" s="1229"/>
      <c r="L169" s="1229"/>
      <c r="M169" s="1229"/>
      <c r="N169" s="1229"/>
      <c r="O169" s="1229"/>
      <c r="P169" s="1229"/>
      <c r="Q169" s="1229"/>
      <c r="R169" s="1229"/>
      <c r="S169" s="1229"/>
      <c r="T169" s="1229"/>
      <c r="U169" s="1229"/>
      <c r="V169" s="1229"/>
      <c r="W169" s="1229"/>
      <c r="X169" s="1229"/>
      <c r="Y169" s="1229"/>
      <c r="Z169" s="1229"/>
      <c r="AA169" s="1229"/>
      <c r="AB169" s="1229"/>
      <c r="AC169" s="1229"/>
      <c r="AD169" s="1229"/>
      <c r="AE169" s="1229"/>
      <c r="AF169" s="1229"/>
      <c r="AG169" s="1229"/>
      <c r="AH169" s="1229"/>
      <c r="AI169" s="1229"/>
      <c r="AJ169" s="1229"/>
      <c r="AK169" s="1229"/>
      <c r="AL169" s="1229"/>
      <c r="BN169" s="228" t="s">
        <v>848</v>
      </c>
      <c r="BT169" t="s">
        <v>849</v>
      </c>
    </row>
    <row r="170" spans="1:72" ht="13.35" customHeight="1" thickBot="1">
      <c r="A170" s="1230"/>
      <c r="B170" s="1230"/>
      <c r="C170" s="1230"/>
      <c r="D170" s="1230"/>
      <c r="E170" s="1230"/>
      <c r="F170" s="1230"/>
      <c r="G170" s="1230"/>
      <c r="H170" s="1230"/>
      <c r="I170" s="1230"/>
      <c r="J170" s="1230"/>
      <c r="K170" s="1230"/>
      <c r="L170" s="1230"/>
      <c r="M170" s="1230"/>
      <c r="N170" s="1230"/>
      <c r="O170" s="1230"/>
      <c r="P170" s="1230"/>
      <c r="Q170" s="1230"/>
      <c r="R170" s="1230"/>
      <c r="S170" s="1230"/>
      <c r="T170" s="1230"/>
      <c r="U170" s="1230"/>
      <c r="V170" s="1230"/>
      <c r="W170" s="1230"/>
      <c r="X170" s="1230"/>
      <c r="Y170" s="1230"/>
      <c r="Z170" s="1230"/>
      <c r="AA170" s="1230"/>
      <c r="AB170" s="1230"/>
      <c r="AC170" s="1230"/>
      <c r="AD170" s="1230"/>
      <c r="AE170" s="1230"/>
      <c r="AF170" s="1230"/>
      <c r="AG170" s="1230"/>
      <c r="AH170" s="1230"/>
      <c r="AI170" s="1230"/>
      <c r="AJ170" s="1230"/>
      <c r="AK170" s="1230"/>
      <c r="AL170" s="1230"/>
      <c r="BN170" s="228" t="s">
        <v>850</v>
      </c>
      <c r="BT170" t="s">
        <v>851</v>
      </c>
    </row>
    <row r="171" spans="1:72" ht="13.35" customHeight="1" thickTop="1">
      <c r="BN171" s="228" t="s">
        <v>852</v>
      </c>
      <c r="BT171" t="s">
        <v>853</v>
      </c>
    </row>
    <row r="172" spans="1:72" ht="13.35" customHeight="1">
      <c r="A172" s="3" t="s">
        <v>854</v>
      </c>
      <c r="C172" s="3" t="s">
        <v>100</v>
      </c>
      <c r="BN172" s="228" t="s">
        <v>855</v>
      </c>
      <c r="BT172" t="s">
        <v>856</v>
      </c>
    </row>
    <row r="173" spans="1:72" ht="13.35" customHeight="1">
      <c r="C173" s="28"/>
      <c r="D173" t="s">
        <v>857</v>
      </c>
      <c r="J173" s="1238" t="s">
        <v>858</v>
      </c>
      <c r="K173" s="1238"/>
      <c r="L173" s="1238"/>
      <c r="M173" s="1238"/>
      <c r="N173" s="1238"/>
      <c r="O173" s="1238"/>
      <c r="P173" s="1238"/>
      <c r="Q173" s="1238"/>
      <c r="R173" s="1238"/>
      <c r="S173" s="1238"/>
      <c r="U173" s="29"/>
      <c r="X173" s="29"/>
      <c r="BN173" s="228" t="s">
        <v>859</v>
      </c>
      <c r="BT173" t="s">
        <v>860</v>
      </c>
    </row>
    <row r="174" spans="1:72" ht="13.35" customHeight="1">
      <c r="C174" s="28"/>
      <c r="D174" t="s">
        <v>861</v>
      </c>
      <c r="U174" s="1069" t="s">
        <v>712</v>
      </c>
      <c r="V174" s="1069"/>
      <c r="BN174" s="228" t="s">
        <v>862</v>
      </c>
      <c r="BT174" t="s">
        <v>863</v>
      </c>
    </row>
    <row r="175" spans="1:72" ht="13.35" customHeight="1">
      <c r="C175" s="12"/>
      <c r="D175" s="30"/>
      <c r="E175" t="s">
        <v>864</v>
      </c>
      <c r="O175" s="31"/>
      <c r="P175" t="s">
        <v>865</v>
      </c>
      <c r="T175" s="31" t="s">
        <v>866</v>
      </c>
      <c r="U175" s="1047"/>
      <c r="V175" s="1047"/>
      <c r="W175" s="1" t="s">
        <v>867</v>
      </c>
      <c r="X175" s="1240"/>
      <c r="Y175" s="1240"/>
      <c r="BN175" s="228" t="s">
        <v>868</v>
      </c>
      <c r="BT175" t="s">
        <v>869</v>
      </c>
    </row>
    <row r="176" spans="1:72" ht="13.35" customHeight="1">
      <c r="C176" s="28"/>
      <c r="D176" t="s">
        <v>870</v>
      </c>
      <c r="U176" s="1069" t="s">
        <v>712</v>
      </c>
      <c r="V176" s="1069"/>
      <c r="BN176" s="228" t="s">
        <v>871</v>
      </c>
      <c r="BT176" t="s">
        <v>872</v>
      </c>
    </row>
    <row r="177" spans="1:72" ht="13.35" customHeight="1">
      <c r="C177" s="28"/>
      <c r="D177" s="296" t="s">
        <v>873</v>
      </c>
      <c r="BN177" s="228" t="s">
        <v>874</v>
      </c>
      <c r="BT177" t="s">
        <v>875</v>
      </c>
    </row>
    <row r="178" spans="1:72" ht="13.35" customHeight="1">
      <c r="C178" s="28"/>
      <c r="E178" s="296" t="s">
        <v>865</v>
      </c>
      <c r="F178" s="296"/>
      <c r="G178" s="296"/>
      <c r="I178" s="845" t="s">
        <v>866</v>
      </c>
      <c r="J178" s="1338"/>
      <c r="K178" s="1338"/>
      <c r="L178" s="300" t="s">
        <v>867</v>
      </c>
      <c r="M178" s="1072"/>
      <c r="N178" s="1072"/>
      <c r="O178" s="296"/>
      <c r="P178" s="296"/>
      <c r="Q178" s="296"/>
      <c r="R178" s="296"/>
      <c r="U178" s="296" t="s">
        <v>876</v>
      </c>
      <c r="V178" s="296"/>
      <c r="W178" s="296"/>
      <c r="X178" s="296"/>
      <c r="Y178" s="296"/>
      <c r="Z178" s="296"/>
      <c r="AA178" s="296"/>
      <c r="AB178" s="296"/>
      <c r="AD178" s="1339"/>
      <c r="AE178" s="1339"/>
      <c r="AF178" s="1339"/>
      <c r="AG178" s="1339"/>
      <c r="AH178" s="1339"/>
      <c r="BN178" s="228" t="s">
        <v>877</v>
      </c>
      <c r="BT178" t="s">
        <v>878</v>
      </c>
    </row>
    <row r="179" spans="1:72" ht="13.35" customHeight="1">
      <c r="C179" s="28"/>
      <c r="BN179" s="228" t="s">
        <v>879</v>
      </c>
      <c r="BT179" t="s">
        <v>880</v>
      </c>
    </row>
    <row r="180" spans="1:72" ht="13.35" customHeight="1">
      <c r="C180" s="12"/>
      <c r="D180" t="s">
        <v>881</v>
      </c>
      <c r="O180" s="296"/>
      <c r="P180" s="296"/>
      <c r="Q180" s="296"/>
      <c r="R180" s="296"/>
      <c r="Y180" s="1069" t="s">
        <v>712</v>
      </c>
      <c r="Z180" s="1234"/>
      <c r="BN180" s="228" t="s">
        <v>882</v>
      </c>
      <c r="BT180" t="s">
        <v>883</v>
      </c>
    </row>
    <row r="181" spans="1:72" ht="13.35" customHeight="1">
      <c r="C181" s="12"/>
      <c r="D181" s="32"/>
      <c r="E181" s="296" t="s">
        <v>884</v>
      </c>
      <c r="R181" s="296"/>
      <c r="BN181" s="228" t="s">
        <v>885</v>
      </c>
      <c r="BT181" t="s">
        <v>886</v>
      </c>
    </row>
    <row r="182" spans="1:72" ht="13.35" customHeight="1">
      <c r="C182" s="12"/>
      <c r="D182" s="32"/>
      <c r="BN182" s="228" t="s">
        <v>887</v>
      </c>
      <c r="BT182" t="s">
        <v>888</v>
      </c>
    </row>
    <row r="183" spans="1:72" ht="13.35" customHeight="1">
      <c r="A183" s="3" t="s">
        <v>889</v>
      </c>
      <c r="C183" s="3" t="s">
        <v>102</v>
      </c>
      <c r="BN183" s="228" t="s">
        <v>890</v>
      </c>
      <c r="BT183" t="s">
        <v>891</v>
      </c>
    </row>
    <row r="184" spans="1:72" ht="13.35" customHeight="1">
      <c r="C184" s="27"/>
      <c r="D184" t="s">
        <v>892</v>
      </c>
      <c r="I184" s="1236" t="str">
        <f>H17</f>
        <v>Santa Fe Springs Village</v>
      </c>
      <c r="J184" s="1236"/>
      <c r="K184" s="1236"/>
      <c r="L184" s="1236"/>
      <c r="M184" s="1236"/>
      <c r="N184" s="1236"/>
      <c r="O184" s="1236"/>
      <c r="P184" s="1236"/>
      <c r="Q184" s="1236"/>
      <c r="R184" s="1236"/>
      <c r="S184" s="1236"/>
      <c r="T184" s="1236"/>
      <c r="U184" s="1236"/>
      <c r="V184" s="1236"/>
      <c r="W184" s="1236"/>
      <c r="X184" s="1236"/>
      <c r="Y184" s="1236"/>
      <c r="Z184" s="1236"/>
      <c r="AA184" s="1236"/>
      <c r="AB184" s="1236"/>
      <c r="AC184" s="1236"/>
      <c r="AD184" s="1236"/>
      <c r="AE184" s="1236"/>
      <c r="BC184" t="s">
        <v>893</v>
      </c>
      <c r="BN184" s="228" t="s">
        <v>894</v>
      </c>
      <c r="BT184" t="s">
        <v>895</v>
      </c>
    </row>
    <row r="185" spans="1:72" ht="13.35" customHeight="1">
      <c r="C185" s="27"/>
      <c r="D185" t="s">
        <v>896</v>
      </c>
      <c r="I185" s="1093" t="s">
        <v>2519</v>
      </c>
      <c r="J185" s="1045"/>
      <c r="K185" s="1045"/>
      <c r="L185" s="1045"/>
      <c r="M185" s="1045"/>
      <c r="N185" s="1045"/>
      <c r="O185" s="1045"/>
      <c r="P185" s="1045"/>
      <c r="Q185" s="1045"/>
      <c r="R185" s="1045"/>
      <c r="S185" s="1045"/>
      <c r="T185" s="1045"/>
      <c r="U185" s="1045"/>
      <c r="V185" s="1045"/>
      <c r="W185" s="1045"/>
      <c r="X185" s="1045"/>
      <c r="Y185" s="1045"/>
      <c r="Z185" s="1045"/>
      <c r="AA185" s="1045"/>
      <c r="AB185" s="1045"/>
      <c r="AC185" s="1045"/>
      <c r="AD185" s="1045"/>
      <c r="AE185" s="1045"/>
      <c r="BC185" s="37" t="s">
        <v>897</v>
      </c>
      <c r="BN185" s="228" t="s">
        <v>898</v>
      </c>
      <c r="BT185" t="s">
        <v>899</v>
      </c>
    </row>
    <row r="186" spans="1:72" ht="13.35" customHeight="1">
      <c r="C186" s="27"/>
      <c r="E186" t="s">
        <v>900</v>
      </c>
      <c r="BN186" s="228" t="s">
        <v>901</v>
      </c>
      <c r="BT186" t="s">
        <v>902</v>
      </c>
    </row>
    <row r="187" spans="1:72" ht="13.35" customHeight="1">
      <c r="C187" s="27"/>
      <c r="E187" s="1248" t="s">
        <v>2535</v>
      </c>
      <c r="F187" s="1340"/>
      <c r="G187" s="1340"/>
      <c r="H187" s="1340"/>
      <c r="I187" s="1340"/>
      <c r="J187" s="1340"/>
      <c r="K187" s="1340"/>
      <c r="L187" s="1340"/>
      <c r="M187" s="1340"/>
      <c r="N187" s="1340"/>
      <c r="O187" s="1340"/>
      <c r="P187" s="1340"/>
      <c r="Q187" s="1340"/>
      <c r="R187" s="1340"/>
      <c r="S187" s="1340"/>
      <c r="T187" s="1340"/>
      <c r="U187" s="1340"/>
      <c r="V187" s="1340"/>
      <c r="W187" s="1340"/>
      <c r="X187" s="1340"/>
      <c r="Y187" s="1340"/>
      <c r="Z187" s="1340"/>
      <c r="AA187" s="1340"/>
      <c r="AB187" s="1340"/>
      <c r="AC187" s="1340"/>
      <c r="AD187" s="1340"/>
      <c r="AE187" s="1340"/>
      <c r="BN187" s="228" t="s">
        <v>903</v>
      </c>
      <c r="BT187" t="s">
        <v>904</v>
      </c>
    </row>
    <row r="188" spans="1:72" ht="13.35" customHeight="1">
      <c r="C188" s="27"/>
      <c r="E188" s="1341"/>
      <c r="F188" s="1341"/>
      <c r="G188" s="1341"/>
      <c r="H188" s="1341"/>
      <c r="I188" s="1341"/>
      <c r="J188" s="1341"/>
      <c r="K188" s="1341"/>
      <c r="L188" s="1341"/>
      <c r="M188" s="1341"/>
      <c r="N188" s="1341"/>
      <c r="O188" s="1341"/>
      <c r="P188" s="1341"/>
      <c r="Q188" s="1341"/>
      <c r="R188" s="1341"/>
      <c r="S188" s="1341"/>
      <c r="T188" s="1341"/>
      <c r="U188" s="1341"/>
      <c r="V188" s="1341"/>
      <c r="W188" s="1341"/>
      <c r="X188" s="1341"/>
      <c r="Y188" s="1341"/>
      <c r="Z188" s="1341"/>
      <c r="AA188" s="1341"/>
      <c r="AB188" s="1341"/>
      <c r="AC188" s="1341"/>
      <c r="AD188" s="1341"/>
      <c r="AE188" s="1341"/>
      <c r="BN188" s="228" t="s">
        <v>905</v>
      </c>
      <c r="BT188" t="s">
        <v>906</v>
      </c>
    </row>
    <row r="189" spans="1:72" ht="13.35" customHeight="1">
      <c r="C189" s="27"/>
      <c r="D189" t="s">
        <v>907</v>
      </c>
      <c r="I189" s="1044" t="s">
        <v>817</v>
      </c>
      <c r="J189" s="1044"/>
      <c r="K189" s="1044"/>
      <c r="L189" s="1044"/>
      <c r="M189" s="1044"/>
      <c r="N189" s="1044"/>
      <c r="O189" s="1044"/>
      <c r="P189" s="1044"/>
      <c r="Q189" t="s">
        <v>908</v>
      </c>
      <c r="T189" s="1044" t="s">
        <v>869</v>
      </c>
      <c r="U189" s="1044"/>
      <c r="V189" s="1044"/>
      <c r="W189" s="1044"/>
      <c r="X189" s="1044"/>
      <c r="Y189" s="1044"/>
      <c r="Z189" s="1044"/>
      <c r="AA189" s="1044"/>
      <c r="AB189" s="1044"/>
      <c r="AC189" s="1044"/>
      <c r="AD189" s="1044"/>
      <c r="AE189" s="1044"/>
      <c r="BC189" t="s">
        <v>320</v>
      </c>
      <c r="BH189" s="37" t="s">
        <v>325</v>
      </c>
      <c r="BN189" s="228" t="s">
        <v>909</v>
      </c>
      <c r="BT189" t="s">
        <v>910</v>
      </c>
    </row>
    <row r="190" spans="1:72" ht="13.35" customHeight="1">
      <c r="C190" s="27"/>
      <c r="D190" t="s">
        <v>911</v>
      </c>
      <c r="I190" s="1045">
        <v>90606</v>
      </c>
      <c r="J190" s="1045"/>
      <c r="K190" s="1045"/>
      <c r="L190" s="1045"/>
      <c r="M190" s="1045"/>
      <c r="N190" s="1045"/>
      <c r="O190" t="s">
        <v>912</v>
      </c>
      <c r="T190" s="1232">
        <v>5023.0200000000004</v>
      </c>
      <c r="U190" s="1232"/>
      <c r="V190" s="1232"/>
      <c r="W190" s="1232"/>
      <c r="X190" s="1232"/>
      <c r="Y190" s="1232"/>
      <c r="Z190" s="1232"/>
      <c r="AA190" s="1232"/>
      <c r="AB190" s="1232"/>
      <c r="AC190" s="1232"/>
      <c r="AD190" s="1232"/>
      <c r="AE190" s="1232"/>
      <c r="BC190" t="s">
        <v>913</v>
      </c>
      <c r="BH190" t="s">
        <v>913</v>
      </c>
      <c r="BN190" s="228" t="s">
        <v>914</v>
      </c>
      <c r="BT190" t="s">
        <v>915</v>
      </c>
    </row>
    <row r="191" spans="1:72" ht="13.35" customHeight="1">
      <c r="C191" s="27"/>
      <c r="D191" t="s">
        <v>916</v>
      </c>
      <c r="N191" s="1340" t="s">
        <v>917</v>
      </c>
      <c r="O191" s="1340"/>
      <c r="P191" s="1340"/>
      <c r="Q191" s="1340"/>
      <c r="R191" s="1340"/>
      <c r="S191" s="1340"/>
      <c r="T191" s="1340"/>
      <c r="U191" s="1340"/>
      <c r="V191" s="1340"/>
      <c r="W191" s="1340"/>
      <c r="X191" s="1340"/>
      <c r="Y191" s="1340"/>
      <c r="Z191" s="1340"/>
      <c r="AA191" s="1340"/>
      <c r="AB191" s="1340"/>
      <c r="AC191" s="1340"/>
      <c r="AD191" s="1340"/>
      <c r="AE191" s="1340"/>
      <c r="BC191" t="s">
        <v>918</v>
      </c>
      <c r="BH191" t="s">
        <v>918</v>
      </c>
      <c r="BN191" s="228" t="s">
        <v>919</v>
      </c>
      <c r="BT191" t="s">
        <v>920</v>
      </c>
    </row>
    <row r="192" spans="1:72" ht="13.35" customHeight="1">
      <c r="C192" s="27"/>
      <c r="M192" s="42"/>
      <c r="N192" s="1341"/>
      <c r="O192" s="1341"/>
      <c r="P192" s="1341"/>
      <c r="Q192" s="1341"/>
      <c r="R192" s="1341"/>
      <c r="S192" s="1341"/>
      <c r="T192" s="1341"/>
      <c r="U192" s="1341"/>
      <c r="V192" s="1341"/>
      <c r="W192" s="1341"/>
      <c r="X192" s="1341"/>
      <c r="Y192" s="1341"/>
      <c r="Z192" s="1341"/>
      <c r="AA192" s="1341"/>
      <c r="AB192" s="1341"/>
      <c r="AC192" s="1341"/>
      <c r="AD192" s="1341"/>
      <c r="AE192" s="1341"/>
      <c r="BC192" t="s">
        <v>921</v>
      </c>
      <c r="BH192" s="37" t="s">
        <v>922</v>
      </c>
      <c r="BN192" s="228" t="s">
        <v>923</v>
      </c>
      <c r="BT192" t="s">
        <v>924</v>
      </c>
    </row>
    <row r="193" spans="1:73" ht="13.35" customHeight="1">
      <c r="C193" s="27"/>
      <c r="D193" t="s">
        <v>925</v>
      </c>
      <c r="T193" s="1069" t="s">
        <v>826</v>
      </c>
      <c r="U193" s="1069"/>
      <c r="W193" s="37" t="s">
        <v>926</v>
      </c>
      <c r="AA193" s="1226">
        <v>2023</v>
      </c>
      <c r="AB193" s="1226"/>
      <c r="AC193" s="1226"/>
      <c r="BC193" t="s">
        <v>927</v>
      </c>
      <c r="BH193" s="37" t="s">
        <v>928</v>
      </c>
      <c r="BN193" s="228" t="s">
        <v>929</v>
      </c>
      <c r="BT193" t="s">
        <v>930</v>
      </c>
    </row>
    <row r="194" spans="1:73" ht="13.35" customHeight="1">
      <c r="C194" s="27"/>
      <c r="D194" t="s">
        <v>931</v>
      </c>
      <c r="T194" s="1059" t="s">
        <v>712</v>
      </c>
      <c r="U194" s="1059"/>
      <c r="W194" t="s">
        <v>932</v>
      </c>
      <c r="AI194" s="1069" t="s">
        <v>712</v>
      </c>
      <c r="AJ194" s="1069"/>
      <c r="AX194" s="37" t="s">
        <v>325</v>
      </c>
      <c r="BC194" t="s">
        <v>933</v>
      </c>
      <c r="BN194" s="228" t="s">
        <v>934</v>
      </c>
      <c r="BT194" t="s">
        <v>935</v>
      </c>
    </row>
    <row r="195" spans="1:73" ht="13.35" customHeight="1">
      <c r="C195" s="27"/>
      <c r="D195" s="37" t="s">
        <v>936</v>
      </c>
      <c r="T195" s="1059" t="s">
        <v>712</v>
      </c>
      <c r="U195" s="1059"/>
      <c r="X195" s="705" t="s">
        <v>937</v>
      </c>
      <c r="AX195" s="37" t="s">
        <v>938</v>
      </c>
      <c r="BN195" s="228" t="s">
        <v>939</v>
      </c>
      <c r="BT195" t="s">
        <v>940</v>
      </c>
    </row>
    <row r="196" spans="1:73" ht="13.35" customHeight="1">
      <c r="C196" s="27"/>
      <c r="D196" s="37" t="s">
        <v>941</v>
      </c>
      <c r="T196" s="1059" t="s">
        <v>712</v>
      </c>
      <c r="U196" s="1059"/>
      <c r="AK196" s="1225"/>
      <c r="AL196" s="1225"/>
      <c r="AX196" s="37" t="s">
        <v>942</v>
      </c>
      <c r="BN196" s="228" t="s">
        <v>943</v>
      </c>
      <c r="BT196" t="s">
        <v>944</v>
      </c>
    </row>
    <row r="197" spans="1:73" ht="13.35" customHeight="1">
      <c r="C197" s="27"/>
      <c r="D197" s="37" t="s">
        <v>945</v>
      </c>
      <c r="T197" s="1069" t="s">
        <v>712</v>
      </c>
      <c r="U197" s="1069"/>
      <c r="AX197" s="37" t="s">
        <v>946</v>
      </c>
      <c r="BC197" t="s">
        <v>320</v>
      </c>
      <c r="BN197" s="228" t="s">
        <v>947</v>
      </c>
      <c r="BT197" t="s">
        <v>948</v>
      </c>
    </row>
    <row r="198" spans="1:73" ht="13.35" customHeight="1">
      <c r="C198" s="27"/>
      <c r="D198" s="37" t="s">
        <v>949</v>
      </c>
      <c r="W198" s="1071" t="s">
        <v>712</v>
      </c>
      <c r="X198" s="1069"/>
      <c r="AX198" s="37" t="s">
        <v>950</v>
      </c>
      <c r="BC198" t="s">
        <v>951</v>
      </c>
      <c r="BN198" s="228" t="s">
        <v>952</v>
      </c>
      <c r="BT198" t="s">
        <v>953</v>
      </c>
    </row>
    <row r="199" spans="1:73" ht="13.35" customHeight="1">
      <c r="C199" s="27"/>
      <c r="L199" s="263"/>
      <c r="M199" s="263"/>
      <c r="N199" s="263"/>
      <c r="O199" s="263"/>
      <c r="P199" s="263"/>
      <c r="Q199" s="827" t="s">
        <v>954</v>
      </c>
      <c r="R199" s="1070" t="s">
        <v>955</v>
      </c>
      <c r="S199" s="1070"/>
      <c r="T199" s="1070"/>
      <c r="U199" s="1070"/>
      <c r="V199" s="1070"/>
      <c r="W199" s="1070"/>
      <c r="X199" s="1070"/>
      <c r="Y199" s="1070"/>
      <c r="Z199" s="1070"/>
      <c r="AA199" s="1070"/>
      <c r="AB199" s="1070"/>
      <c r="AH199" s="1"/>
      <c r="AI199" s="1"/>
      <c r="AX199" s="37" t="s">
        <v>956</v>
      </c>
      <c r="BC199" s="37" t="s">
        <v>957</v>
      </c>
      <c r="BN199" s="228" t="s">
        <v>958</v>
      </c>
      <c r="BO199" s="35"/>
      <c r="BP199" s="36"/>
      <c r="BQ199" s="36"/>
      <c r="BR199" s="36"/>
      <c r="BS199" s="36"/>
      <c r="BT199" s="36" t="s">
        <v>959</v>
      </c>
    </row>
    <row r="200" spans="1:73" ht="13.35" customHeight="1">
      <c r="C200" s="27"/>
      <c r="D200" t="s">
        <v>960</v>
      </c>
      <c r="AH200" s="1"/>
      <c r="AI200" s="1"/>
      <c r="AX200" s="37" t="s">
        <v>961</v>
      </c>
      <c r="BC200" s="37" t="s">
        <v>962</v>
      </c>
      <c r="BN200" s="228" t="s">
        <v>963</v>
      </c>
      <c r="BO200" s="21"/>
      <c r="BP200" s="36"/>
      <c r="BQ200" s="36"/>
      <c r="BR200" s="36"/>
      <c r="BS200" s="36"/>
      <c r="BT200" s="36" t="s">
        <v>964</v>
      </c>
    </row>
    <row r="201" spans="1:73" ht="13.35" customHeight="1">
      <c r="C201" s="27"/>
      <c r="G201" s="800" t="s">
        <v>965</v>
      </c>
      <c r="AX201" s="37" t="s">
        <v>966</v>
      </c>
      <c r="BC201" t="s">
        <v>967</v>
      </c>
      <c r="BN201" s="228" t="s">
        <v>968</v>
      </c>
      <c r="BO201" s="21"/>
      <c r="BP201" s="36"/>
      <c r="BQ201" s="36"/>
      <c r="BR201" s="36"/>
      <c r="BS201" s="36"/>
      <c r="BT201" s="36" t="s">
        <v>969</v>
      </c>
    </row>
    <row r="202" spans="1:73" ht="13.35" customHeight="1">
      <c r="A202" s="3" t="s">
        <v>970</v>
      </c>
      <c r="C202" s="3" t="s">
        <v>971</v>
      </c>
      <c r="AX202" s="37" t="s">
        <v>927</v>
      </c>
      <c r="BC202" t="s">
        <v>972</v>
      </c>
      <c r="BN202" s="228" t="s">
        <v>973</v>
      </c>
      <c r="BT202" s="36" t="s">
        <v>974</v>
      </c>
      <c r="BU202" s="21"/>
    </row>
    <row r="203" spans="1:73" ht="13.35" customHeight="1">
      <c r="D203" s="1236" t="str">
        <f>IF(AND(M25&gt;0,M27&gt;0),"Federal and State","Federal Only")</f>
        <v>Federal Only</v>
      </c>
      <c r="E203" s="1236"/>
      <c r="F203" s="1236"/>
      <c r="G203" s="1236"/>
      <c r="H203" s="1236"/>
      <c r="I203" s="1236"/>
      <c r="J203" s="1236"/>
      <c r="K203" s="1236"/>
      <c r="L203" s="1236"/>
      <c r="M203" s="1236"/>
      <c r="P203" s="1346">
        <f>M25</f>
        <v>1751720</v>
      </c>
      <c r="Q203" s="1346"/>
      <c r="R203" s="1346"/>
      <c r="S203" s="1346"/>
      <c r="T203" s="1346"/>
      <c r="U203" s="1346"/>
      <c r="W203" s="1346">
        <f>M27</f>
        <v>0</v>
      </c>
      <c r="X203" s="1346"/>
      <c r="Y203" s="1346"/>
      <c r="Z203" s="1346"/>
      <c r="AA203" s="1346"/>
      <c r="AB203" s="1346"/>
      <c r="AV203" t="s">
        <v>325</v>
      </c>
      <c r="AX203" s="37" t="s">
        <v>921</v>
      </c>
      <c r="BC203" t="s">
        <v>975</v>
      </c>
      <c r="BN203" s="228" t="s">
        <v>976</v>
      </c>
      <c r="BT203" s="36" t="s">
        <v>977</v>
      </c>
      <c r="BU203" s="21"/>
    </row>
    <row r="204" spans="1:73" ht="13.35" customHeight="1">
      <c r="C204" s="27"/>
      <c r="P204" s="1327" t="s">
        <v>978</v>
      </c>
      <c r="Q204" s="1327"/>
      <c r="R204" s="1327"/>
      <c r="S204" s="1327"/>
      <c r="T204" s="1327"/>
      <c r="U204" s="1327"/>
      <c r="V204" s="4"/>
      <c r="W204" s="1327" t="s">
        <v>979</v>
      </c>
      <c r="X204" s="1327"/>
      <c r="Y204" s="1327"/>
      <c r="Z204" s="1327"/>
      <c r="AA204" s="1327"/>
      <c r="AB204" s="1327"/>
      <c r="AV204" t="s">
        <v>826</v>
      </c>
      <c r="AX204" s="37" t="s">
        <v>980</v>
      </c>
      <c r="BC204" t="s">
        <v>981</v>
      </c>
      <c r="BN204" s="228" t="s">
        <v>982</v>
      </c>
      <c r="BT204" s="36" t="s">
        <v>983</v>
      </c>
      <c r="BU204" s="21"/>
    </row>
    <row r="205" spans="1:73" ht="13.35" customHeight="1" thickBot="1">
      <c r="D205" s="389" t="s">
        <v>984</v>
      </c>
      <c r="E205" s="33"/>
      <c r="F205" s="33"/>
      <c r="G205" s="33"/>
      <c r="H205" s="33"/>
      <c r="I205" s="33"/>
      <c r="J205" s="33"/>
      <c r="K205" s="33"/>
      <c r="L205" s="33"/>
      <c r="M205" s="33"/>
      <c r="N205" s="33"/>
      <c r="O205" s="33"/>
      <c r="P205" s="33"/>
      <c r="AV205" t="s">
        <v>712</v>
      </c>
      <c r="BC205" t="s">
        <v>985</v>
      </c>
      <c r="BN205" s="228" t="s">
        <v>986</v>
      </c>
      <c r="BT205" s="36" t="s">
        <v>987</v>
      </c>
    </row>
    <row r="206" spans="1:73" ht="13.35" customHeight="1">
      <c r="X206" s="708"/>
      <c r="Y206" s="709"/>
      <c r="Z206" s="709"/>
      <c r="AA206" s="709"/>
      <c r="AB206" s="709"/>
      <c r="AC206" s="709"/>
      <c r="AD206" s="709"/>
      <c r="AE206" s="709"/>
      <c r="AF206" s="709"/>
      <c r="AG206" s="709"/>
      <c r="AH206" s="709"/>
      <c r="AI206" s="709"/>
      <c r="AJ206" s="709"/>
      <c r="AK206" s="710"/>
      <c r="AX206" t="s">
        <v>320</v>
      </c>
      <c r="BC206" s="158" t="s">
        <v>988</v>
      </c>
      <c r="BN206" s="228" t="s">
        <v>989</v>
      </c>
      <c r="BT206" s="36" t="s">
        <v>990</v>
      </c>
    </row>
    <row r="207" spans="1:73" ht="13.35" customHeight="1">
      <c r="A207" s="3" t="s">
        <v>991</v>
      </c>
      <c r="C207" s="3" t="s">
        <v>992</v>
      </c>
      <c r="X207" s="711"/>
      <c r="Y207" s="819"/>
      <c r="Z207" s="712"/>
      <c r="AA207" s="712"/>
      <c r="AB207" s="712"/>
      <c r="AC207" s="712"/>
      <c r="AD207" s="712"/>
      <c r="AE207" s="712"/>
      <c r="AF207" s="712"/>
      <c r="AG207" s="712"/>
      <c r="AH207" s="712"/>
      <c r="AI207" s="712"/>
      <c r="AJ207" s="712"/>
      <c r="AK207" s="713"/>
      <c r="AX207" t="s">
        <v>993</v>
      </c>
      <c r="BC207" t="s">
        <v>994</v>
      </c>
      <c r="BN207" s="228" t="s">
        <v>995</v>
      </c>
      <c r="BT207" s="36" t="s">
        <v>996</v>
      </c>
    </row>
    <row r="208" spans="1:73" ht="13.35" customHeight="1">
      <c r="C208" s="27"/>
      <c r="D208" s="1070" t="s">
        <v>997</v>
      </c>
      <c r="E208" s="1070"/>
      <c r="F208" s="1070"/>
      <c r="G208" s="1070"/>
      <c r="H208" s="1070"/>
      <c r="I208" s="1070"/>
      <c r="J208" s="1070"/>
      <c r="K208" s="1070"/>
      <c r="L208" s="1070"/>
      <c r="M208" s="1070"/>
      <c r="X208" s="711"/>
      <c r="Y208" s="820"/>
      <c r="Z208" s="712"/>
      <c r="AA208" s="712"/>
      <c r="AB208" s="712"/>
      <c r="AC208" s="712"/>
      <c r="AD208" s="712"/>
      <c r="AE208" s="712"/>
      <c r="AF208" s="712"/>
      <c r="AG208" s="712"/>
      <c r="AH208" s="712"/>
      <c r="AI208" s="712"/>
      <c r="AJ208" s="712"/>
      <c r="AK208" s="713"/>
      <c r="AX208" t="s">
        <v>998</v>
      </c>
      <c r="BC208" t="s">
        <v>999</v>
      </c>
      <c r="BN208" s="228" t="s">
        <v>1000</v>
      </c>
      <c r="BT208" s="36" t="s">
        <v>1001</v>
      </c>
    </row>
    <row r="209" spans="1:72" ht="13.35" customHeight="1">
      <c r="C209" s="12"/>
      <c r="X209" s="711"/>
      <c r="Y209" s="820"/>
      <c r="Z209" s="712"/>
      <c r="AA209" s="712"/>
      <c r="AB209" s="712"/>
      <c r="AC209" s="712"/>
      <c r="AD209" s="712"/>
      <c r="AE209" s="712"/>
      <c r="AF209" s="712"/>
      <c r="AG209" s="712"/>
      <c r="AH209" s="712"/>
      <c r="AI209" s="712"/>
      <c r="AJ209" s="712"/>
      <c r="AK209" s="713"/>
      <c r="AX209" t="s">
        <v>1002</v>
      </c>
      <c r="BC209" t="s">
        <v>1003</v>
      </c>
      <c r="BN209" s="228" t="s">
        <v>1004</v>
      </c>
      <c r="BT209" s="36" t="s">
        <v>1005</v>
      </c>
    </row>
    <row r="210" spans="1:72" ht="13.35" customHeight="1">
      <c r="A210" s="3" t="s">
        <v>1006</v>
      </c>
      <c r="C210" s="3" t="s">
        <v>1007</v>
      </c>
      <c r="X210" s="711"/>
      <c r="Y210" s="820"/>
      <c r="Z210" s="712"/>
      <c r="AA210" s="712"/>
      <c r="AB210" s="712"/>
      <c r="AC210" s="712"/>
      <c r="AD210" s="712"/>
      <c r="AE210" s="712"/>
      <c r="AF210" s="712"/>
      <c r="AG210" s="712"/>
      <c r="AH210" s="712"/>
      <c r="AI210" s="712"/>
      <c r="AJ210" s="712"/>
      <c r="AK210" s="713"/>
      <c r="AX210" t="s">
        <v>1008</v>
      </c>
      <c r="BN210" s="228" t="s">
        <v>1009</v>
      </c>
      <c r="BT210" s="36" t="s">
        <v>1010</v>
      </c>
    </row>
    <row r="211" spans="1:72" ht="13.35" customHeight="1">
      <c r="C211" s="27"/>
      <c r="D211" s="1070" t="s">
        <v>921</v>
      </c>
      <c r="E211" s="1070"/>
      <c r="F211" s="1070"/>
      <c r="G211" s="1070"/>
      <c r="H211" s="1070"/>
      <c r="I211" s="1070"/>
      <c r="J211" s="1070"/>
      <c r="K211" s="1070"/>
      <c r="L211" s="1070"/>
      <c r="M211" s="1070"/>
      <c r="N211" s="1070"/>
      <c r="O211" s="1070"/>
      <c r="P211" s="1070"/>
      <c r="X211" s="711"/>
      <c r="Y211" s="1233" t="s">
        <v>712</v>
      </c>
      <c r="Z211" s="1233"/>
      <c r="AA211" s="712"/>
      <c r="AB211" s="712"/>
      <c r="AC211" s="712"/>
      <c r="AD211" s="712"/>
      <c r="AE211" s="712"/>
      <c r="AF211" s="712"/>
      <c r="AG211" s="712"/>
      <c r="AH211" s="712"/>
      <c r="AI211" s="712"/>
      <c r="AJ211" s="712"/>
      <c r="AK211" s="713"/>
      <c r="AX211" t="s">
        <v>955</v>
      </c>
      <c r="BN211" s="228" t="s">
        <v>1011</v>
      </c>
      <c r="BT211" s="36" t="s">
        <v>1012</v>
      </c>
    </row>
    <row r="212" spans="1:72" ht="13.35" customHeight="1" thickBot="1">
      <c r="X212" s="716"/>
      <c r="Y212" s="714"/>
      <c r="Z212" s="714"/>
      <c r="AA212" s="714"/>
      <c r="AB212" s="714"/>
      <c r="AC212" s="714"/>
      <c r="AD212" s="714"/>
      <c r="AE212" s="714"/>
      <c r="AF212" s="714"/>
      <c r="AG212" s="714"/>
      <c r="AH212" s="714"/>
      <c r="AI212" s="714"/>
      <c r="AJ212" s="714"/>
      <c r="AK212" s="715"/>
      <c r="AX212" t="s">
        <v>1013</v>
      </c>
      <c r="BC212" t="s">
        <v>320</v>
      </c>
      <c r="BN212" s="228" t="s">
        <v>1014</v>
      </c>
      <c r="BT212" s="36" t="s">
        <v>1015</v>
      </c>
    </row>
    <row r="213" spans="1:72" ht="13.35" customHeight="1">
      <c r="A213" s="3" t="s">
        <v>1016</v>
      </c>
      <c r="C213" s="3" t="s">
        <v>1017</v>
      </c>
      <c r="AX213" s="37" t="s">
        <v>1018</v>
      </c>
      <c r="BC213" t="s">
        <v>1019</v>
      </c>
      <c r="BN213" s="228" t="s">
        <v>1020</v>
      </c>
      <c r="BT213" s="36" t="s">
        <v>1021</v>
      </c>
    </row>
    <row r="214" spans="1:72" ht="13.35" customHeight="1">
      <c r="C214" s="27"/>
      <c r="D214" s="1070" t="s">
        <v>921</v>
      </c>
      <c r="E214" s="1070"/>
      <c r="F214" s="1070"/>
      <c r="G214" s="1070"/>
      <c r="H214" s="1070"/>
      <c r="I214" s="1070"/>
      <c r="J214" s="1070"/>
      <c r="K214" s="1070"/>
      <c r="L214" s="1070"/>
      <c r="M214" s="1070"/>
      <c r="N214" s="1070"/>
      <c r="O214" s="1070"/>
      <c r="P214" s="1070"/>
      <c r="Q214" s="1070"/>
      <c r="R214" s="1070"/>
      <c r="S214" s="1070"/>
      <c r="T214" s="1070"/>
      <c r="U214" s="1070"/>
      <c r="V214" s="1070"/>
      <c r="W214" s="1070"/>
      <c r="X214" s="1070"/>
      <c r="Y214" s="1070"/>
      <c r="Z214" s="1070"/>
      <c r="BC214" t="s">
        <v>1022</v>
      </c>
      <c r="BN214" s="228" t="s">
        <v>1023</v>
      </c>
      <c r="BT214" s="36" t="s">
        <v>1024</v>
      </c>
    </row>
    <row r="215" spans="1:72" ht="13.35" customHeight="1">
      <c r="D215" s="32"/>
      <c r="E215" s="37" t="s">
        <v>1025</v>
      </c>
      <c r="AC215" s="1228">
        <v>22</v>
      </c>
      <c r="AD215" s="1228"/>
      <c r="AF215" s="1342">
        <f>IFERROR(AC215/AG433,"")</f>
        <v>0.51162790697674421</v>
      </c>
      <c r="AG215" s="1342"/>
      <c r="BC215" t="s">
        <v>1026</v>
      </c>
    </row>
    <row r="216" spans="1:72" ht="13.35" customHeight="1">
      <c r="D216" s="32"/>
      <c r="E216" s="843" t="s">
        <v>1027</v>
      </c>
      <c r="BC216" t="s">
        <v>1028</v>
      </c>
    </row>
    <row r="217" spans="1:72" ht="13.35" customHeight="1">
      <c r="E217" s="1350" t="s">
        <v>918</v>
      </c>
      <c r="F217" s="1350"/>
      <c r="G217" s="1350"/>
      <c r="H217" s="1350"/>
      <c r="I217" s="1350"/>
      <c r="J217" s="1350"/>
      <c r="K217" s="1350"/>
      <c r="L217" s="1350"/>
      <c r="M217" s="1350"/>
      <c r="N217" s="1350"/>
      <c r="O217" s="1350"/>
      <c r="P217" s="1350"/>
      <c r="Q217" s="1350"/>
      <c r="R217" s="1350"/>
      <c r="S217" s="1350"/>
      <c r="T217" s="1350"/>
      <c r="U217" s="1350"/>
      <c r="V217" s="1350"/>
      <c r="W217" s="1350"/>
      <c r="X217" s="1350"/>
      <c r="Y217" s="1350"/>
      <c r="Z217" s="1350"/>
      <c r="AA217" s="42"/>
      <c r="AB217" s="42"/>
      <c r="AC217" s="42"/>
      <c r="AD217" s="42"/>
      <c r="AE217" s="42"/>
      <c r="AF217" s="42"/>
      <c r="BC217" t="s">
        <v>1029</v>
      </c>
    </row>
    <row r="218" spans="1:72" ht="13.35" customHeight="1">
      <c r="E218" s="37" t="s">
        <v>1030</v>
      </c>
      <c r="AA218" s="42"/>
      <c r="AC218" s="1235" t="s">
        <v>2520</v>
      </c>
      <c r="AD218" s="1235"/>
      <c r="AE218" s="1235"/>
      <c r="AF218" s="1235"/>
      <c r="AG218" s="1235"/>
      <c r="AH218" s="1235"/>
      <c r="AI218" s="1235"/>
      <c r="AJ218" s="1235"/>
      <c r="AK218" s="1235"/>
      <c r="AL218" s="1235"/>
      <c r="AM218" s="1235"/>
      <c r="BC218" t="s">
        <v>1031</v>
      </c>
      <c r="BI218" s="35"/>
    </row>
    <row r="219" spans="1:72" ht="13.35" customHeight="1">
      <c r="E219" s="37" t="s">
        <v>1032</v>
      </c>
      <c r="AA219" s="42"/>
      <c r="AC219" s="1235"/>
      <c r="AD219" s="1235"/>
      <c r="AE219" s="1235"/>
      <c r="AF219" s="1235"/>
      <c r="AG219" s="1235"/>
      <c r="AH219" s="1235"/>
      <c r="AI219" s="1235"/>
      <c r="AJ219" s="1235"/>
      <c r="AK219" s="1235"/>
      <c r="AL219" s="1235"/>
      <c r="AM219" s="1235"/>
      <c r="BC219" t="s">
        <v>1033</v>
      </c>
      <c r="BI219" s="21"/>
    </row>
    <row r="220" spans="1:72" s="21" customFormat="1" ht="13.3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3.35" customHeight="1">
      <c r="A221" s="3" t="s">
        <v>1034</v>
      </c>
      <c r="C221" s="3" t="s">
        <v>1035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35" customHeight="1">
      <c r="B222"/>
      <c r="C222"/>
      <c r="D222" t="s">
        <v>1036</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35" customHeight="1">
      <c r="A223" s="21"/>
      <c r="D223" s="1070" t="s">
        <v>957</v>
      </c>
      <c r="E223" s="1070"/>
      <c r="F223" s="1070"/>
      <c r="G223" s="1070"/>
      <c r="H223" s="1070"/>
      <c r="I223" s="1070"/>
      <c r="J223" s="1070"/>
      <c r="K223" s="1070"/>
      <c r="L223" s="1070"/>
      <c r="M223" s="1070"/>
      <c r="N223" s="1070"/>
      <c r="O223" s="1070"/>
      <c r="P223" s="1070"/>
      <c r="Q223" s="1070"/>
      <c r="R223" s="1070"/>
      <c r="S223" s="1070"/>
      <c r="T223" s="1070"/>
      <c r="U223" s="1070"/>
      <c r="V223" s="1070"/>
      <c r="W223" s="1070"/>
      <c r="X223" s="1070"/>
      <c r="Y223" s="1070"/>
      <c r="Z223" s="1070"/>
      <c r="AA223" s="1070"/>
      <c r="AB223" s="1070"/>
      <c r="AC223" s="1070"/>
      <c r="AD223" s="1070"/>
      <c r="AE223" s="1070"/>
      <c r="AF223" s="1070"/>
      <c r="AG223" s="1070"/>
      <c r="AH223" s="1070"/>
      <c r="AI223" s="1070"/>
      <c r="AJ223" s="21"/>
      <c r="AK223" s="21"/>
      <c r="AL223" s="21"/>
    </row>
    <row r="224" spans="1:72" ht="13.35" customHeight="1">
      <c r="AJ224" s="37"/>
    </row>
    <row r="225" spans="1:59" ht="13.35" customHeight="1">
      <c r="D225" t="s">
        <v>1037</v>
      </c>
      <c r="O225" s="1069">
        <v>38</v>
      </c>
      <c r="P225" s="1069"/>
    </row>
    <row r="226" spans="1:59" ht="13.35" customHeight="1">
      <c r="D226" t="s">
        <v>1038</v>
      </c>
      <c r="O226" s="1069">
        <v>64</v>
      </c>
      <c r="P226" s="1069"/>
      <c r="BB226" s="37" t="s">
        <v>1039</v>
      </c>
      <c r="BG226" s="339">
        <f>IF(AND(AND($M$251="for profit",$M$259="for profit",$M$267="nonprofit")),2,0)</f>
        <v>0</v>
      </c>
    </row>
    <row r="227" spans="1:59" ht="13.35" customHeight="1">
      <c r="D227" t="s">
        <v>1040</v>
      </c>
      <c r="O227" s="1069">
        <v>30</v>
      </c>
      <c r="P227" s="1069"/>
      <c r="BB227" s="37" t="s">
        <v>1039</v>
      </c>
      <c r="BG227" s="339">
        <f>IF(AND(AND($M$251="for profit",$M$259="nonprofit",$M$267="for profit")),2,0)</f>
        <v>0</v>
      </c>
    </row>
    <row r="228" spans="1:59" ht="13.35" customHeight="1">
      <c r="D228" t="s">
        <v>960</v>
      </c>
      <c r="BB228" t="s">
        <v>1039</v>
      </c>
      <c r="BG228" s="339">
        <f>IF(AND(AND($M$251="nonprofit",$M$259="for profit",$M$267="for profit")),2,0)</f>
        <v>0</v>
      </c>
    </row>
    <row r="229" spans="1:59" ht="13.35" customHeight="1">
      <c r="D229" s="295" t="s">
        <v>1041</v>
      </c>
      <c r="U229" s="295" t="s">
        <v>1042</v>
      </c>
      <c r="BB229" t="s">
        <v>1039</v>
      </c>
      <c r="BG229" s="339">
        <f>IF(AND(AND($M$251="for profit",$M$259="nonprofit",$M$267="(select one)")),2,0)</f>
        <v>0</v>
      </c>
    </row>
    <row r="230" spans="1:59" ht="13.35" customHeight="1">
      <c r="BB230" t="s">
        <v>1039</v>
      </c>
      <c r="BG230" s="340">
        <f>IF(AND(AND($M$251="nonprofit",$M$259="for profit",$M$267="(select one)")),2,0)</f>
        <v>0</v>
      </c>
    </row>
    <row r="231" spans="1:59" ht="13.35" customHeight="1">
      <c r="A231" s="1229" t="s">
        <v>1043</v>
      </c>
      <c r="B231" s="1229"/>
      <c r="C231" s="1229"/>
      <c r="D231" s="1229"/>
      <c r="E231" s="1229"/>
      <c r="F231" s="1229"/>
      <c r="G231" s="1229"/>
      <c r="H231" s="1229"/>
      <c r="I231" s="1229"/>
      <c r="J231" s="1229"/>
      <c r="K231" s="1229"/>
      <c r="L231" s="1229"/>
      <c r="M231" s="1229"/>
      <c r="N231" s="1229"/>
      <c r="O231" s="1229"/>
      <c r="P231" s="1229"/>
      <c r="Q231" s="1229"/>
      <c r="R231" s="1229"/>
      <c r="S231" s="1229"/>
      <c r="T231" s="1229"/>
      <c r="U231" s="1229"/>
      <c r="V231" s="1229"/>
      <c r="W231" s="1229"/>
      <c r="X231" s="1229"/>
      <c r="Y231" s="1229"/>
      <c r="Z231" s="1229"/>
      <c r="AA231" s="1229"/>
      <c r="AB231" s="1229"/>
      <c r="AC231" s="1229"/>
      <c r="AD231" s="1229"/>
      <c r="AE231" s="1229"/>
      <c r="AF231" s="1229"/>
      <c r="AG231" s="1229"/>
      <c r="AH231" s="1229"/>
      <c r="AI231" s="1229"/>
      <c r="AJ231" s="1229"/>
      <c r="AK231" s="1229"/>
      <c r="AL231" s="1229"/>
    </row>
    <row r="232" spans="1:59" ht="13.35" customHeight="1" thickBot="1">
      <c r="A232" s="1230"/>
      <c r="B232" s="1230"/>
      <c r="C232" s="1230"/>
      <c r="D232" s="1230"/>
      <c r="E232" s="1230"/>
      <c r="F232" s="1230"/>
      <c r="G232" s="1230"/>
      <c r="H232" s="1230"/>
      <c r="I232" s="1230"/>
      <c r="J232" s="1230"/>
      <c r="K232" s="1230"/>
      <c r="L232" s="1230"/>
      <c r="M232" s="1230"/>
      <c r="N232" s="1230"/>
      <c r="O232" s="1230"/>
      <c r="P232" s="1230"/>
      <c r="Q232" s="1230"/>
      <c r="R232" s="1230"/>
      <c r="S232" s="1230"/>
      <c r="T232" s="1230"/>
      <c r="U232" s="1230"/>
      <c r="V232" s="1230"/>
      <c r="W232" s="1230"/>
      <c r="X232" s="1230"/>
      <c r="Y232" s="1230"/>
      <c r="Z232" s="1230"/>
      <c r="AA232" s="1230"/>
      <c r="AB232" s="1230"/>
      <c r="AC232" s="1230"/>
      <c r="AD232" s="1230"/>
      <c r="AE232" s="1230"/>
      <c r="AF232" s="1230"/>
      <c r="AG232" s="1230"/>
      <c r="AH232" s="1230"/>
      <c r="AI232" s="1230"/>
      <c r="AJ232" s="1230"/>
      <c r="AK232" s="1230"/>
      <c r="AL232" s="1230"/>
      <c r="BB232" s="3" t="s">
        <v>1039</v>
      </c>
      <c r="BC232" s="3"/>
      <c r="BD232" s="3"/>
      <c r="BE232" s="3"/>
      <c r="BF232" s="3"/>
      <c r="BG232" s="339">
        <f>IF(AND(AND($M$251="nonprofit",$M$259="nonprofit",$M$267="for profit")),2,0)</f>
        <v>0</v>
      </c>
    </row>
    <row r="233" spans="1:59" ht="13.35" customHeight="1"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1039</v>
      </c>
      <c r="BC233" s="3"/>
      <c r="BD233" s="3"/>
      <c r="BE233" s="3"/>
      <c r="BF233" s="3"/>
      <c r="BG233" s="339">
        <f>IF(AND(AND($M$251="nonprofit",$M$259="for profit",$M$267="nonprofit")),2,0)</f>
        <v>0</v>
      </c>
    </row>
    <row r="234" spans="1:59" ht="13.35" customHeight="1">
      <c r="A234" s="3" t="s">
        <v>854</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1039</v>
      </c>
      <c r="BC234" s="3"/>
      <c r="BD234" s="3"/>
      <c r="BE234" s="3"/>
      <c r="BF234" s="3"/>
      <c r="BG234" s="340">
        <f>IF(AND(AND($M$251="for profit",$M$259="nonprofit",$M$267="nonprofit")),2,0)</f>
        <v>0</v>
      </c>
    </row>
    <row r="235" spans="1:59" ht="13.35" customHeight="1">
      <c r="D235" s="37" t="s">
        <v>1044</v>
      </c>
      <c r="E235" s="37"/>
      <c r="F235" s="37"/>
      <c r="G235" s="37"/>
      <c r="H235" s="37"/>
      <c r="I235" s="37"/>
      <c r="J235" s="37"/>
      <c r="K235" s="37"/>
      <c r="M235" s="1326" t="str">
        <f>H15</f>
        <v>Santa Fe Springs Village, LP</v>
      </c>
      <c r="N235" s="1326"/>
      <c r="O235" s="1326"/>
      <c r="P235" s="1326"/>
      <c r="Q235" s="1326"/>
      <c r="R235" s="1326"/>
      <c r="S235" s="1326"/>
      <c r="T235" s="1326"/>
      <c r="U235" s="1326"/>
      <c r="V235" s="1326"/>
      <c r="W235" s="1326"/>
      <c r="X235" s="1326"/>
      <c r="Y235" s="1326"/>
      <c r="Z235" s="1326"/>
      <c r="AA235" s="1326"/>
      <c r="AB235" s="1326"/>
      <c r="AC235" s="1326"/>
      <c r="AD235" s="1326"/>
      <c r="AE235" s="1326"/>
      <c r="AF235" s="1326"/>
      <c r="AG235" s="1326"/>
      <c r="AH235" s="1326"/>
      <c r="AI235" s="1326"/>
      <c r="AJ235" s="1326"/>
      <c r="AK235" s="1326"/>
      <c r="BB235" s="3"/>
      <c r="BG235" s="37"/>
    </row>
    <row r="236" spans="1:59" ht="13.35" customHeight="1">
      <c r="D236" s="37" t="s">
        <v>1045</v>
      </c>
      <c r="E236" s="37"/>
      <c r="F236" s="37"/>
      <c r="G236" s="37"/>
      <c r="H236" s="37"/>
      <c r="I236" s="37"/>
      <c r="J236" s="37"/>
      <c r="K236" s="37"/>
      <c r="M236" s="1070" t="s">
        <v>1046</v>
      </c>
      <c r="N236" s="1070"/>
      <c r="O236" s="1070"/>
      <c r="P236" s="1070"/>
      <c r="Q236" s="1070"/>
      <c r="R236" s="1070"/>
      <c r="S236" s="1070"/>
      <c r="T236" s="1070"/>
      <c r="U236" s="1070"/>
      <c r="V236" s="1070"/>
      <c r="W236" s="1070"/>
      <c r="X236" s="1070"/>
      <c r="Y236" s="1070"/>
      <c r="Z236" s="1070"/>
      <c r="AA236" s="1070"/>
      <c r="AB236" s="1070"/>
      <c r="AC236" s="1070"/>
      <c r="AD236" s="1070"/>
      <c r="AE236" s="1070"/>
      <c r="AM236" s="37"/>
      <c r="AN236" s="37"/>
      <c r="BB236" t="s">
        <v>1047</v>
      </c>
      <c r="BG236" s="339">
        <f>IF(AND(AND($M$251="nonprofit",$M$259="nonprofit",$M$267="nonprofit")),1,0)</f>
        <v>0</v>
      </c>
    </row>
    <row r="237" spans="1:59" ht="13.35" customHeight="1">
      <c r="D237" s="37" t="s">
        <v>907</v>
      </c>
      <c r="E237" s="37"/>
      <c r="M237" s="1070" t="s">
        <v>1048</v>
      </c>
      <c r="N237" s="1070"/>
      <c r="O237" s="1070"/>
      <c r="P237" s="1070"/>
      <c r="Q237" s="1070"/>
      <c r="R237" s="1070"/>
      <c r="S237" s="1070"/>
      <c r="T237" s="1070"/>
      <c r="V237" s="827" t="s">
        <v>1049</v>
      </c>
      <c r="W237" s="1093" t="s">
        <v>1050</v>
      </c>
      <c r="X237" s="1093"/>
      <c r="Y237" s="37" t="s">
        <v>911</v>
      </c>
      <c r="AC237" s="1070">
        <v>90232</v>
      </c>
      <c r="AD237" s="1070"/>
      <c r="AE237" s="1070"/>
      <c r="AN237" s="37"/>
      <c r="BB237" t="s">
        <v>1047</v>
      </c>
      <c r="BG237" s="339">
        <f>IF(AND(AND($M$251="nonprofit",$M$259="nonprofit",$M$267="(select one)")),1,0)</f>
        <v>0</v>
      </c>
    </row>
    <row r="238" spans="1:59" ht="13.35" customHeight="1">
      <c r="D238" s="37" t="s">
        <v>1051</v>
      </c>
      <c r="E238" s="37"/>
      <c r="F238" s="37"/>
      <c r="G238" s="37"/>
      <c r="H238" s="37"/>
      <c r="I238" s="37"/>
      <c r="J238" s="37"/>
      <c r="K238" s="865"/>
      <c r="M238" s="1070" t="s">
        <v>797</v>
      </c>
      <c r="N238" s="1070"/>
      <c r="O238" s="1070"/>
      <c r="P238" s="1070"/>
      <c r="Q238" s="1070"/>
      <c r="R238" s="1070"/>
      <c r="S238" s="1070"/>
      <c r="T238" s="1070"/>
      <c r="U238" s="1070"/>
      <c r="V238" s="1070"/>
      <c r="W238" s="1070"/>
      <c r="X238" s="1070"/>
      <c r="Y238" s="1070"/>
      <c r="Z238" s="1070"/>
      <c r="AA238" s="1070"/>
      <c r="AB238" s="1070"/>
      <c r="AC238" s="1070"/>
      <c r="AD238" s="1070"/>
      <c r="AE238" s="1070"/>
      <c r="AI238" s="37"/>
      <c r="AJ238" s="37"/>
      <c r="AK238" s="37"/>
      <c r="AL238" s="37"/>
      <c r="AN238" s="37"/>
      <c r="BB238" t="s">
        <v>1047</v>
      </c>
      <c r="BG238" s="339">
        <f>IF(AND(AND($M$251="nonprofit",$M$259="(select one)",$M$267="(select one)")),1,0)</f>
        <v>0</v>
      </c>
    </row>
    <row r="239" spans="1:59" ht="13.35" customHeight="1">
      <c r="D239" s="37" t="s">
        <v>1052</v>
      </c>
      <c r="E239" s="37"/>
      <c r="F239" s="37"/>
      <c r="M239" s="1068" t="s">
        <v>1053</v>
      </c>
      <c r="N239" s="1068"/>
      <c r="O239" s="1068"/>
      <c r="P239" s="1068"/>
      <c r="Q239" s="1068"/>
      <c r="R239" s="1068"/>
      <c r="S239" s="37" t="s">
        <v>1054</v>
      </c>
      <c r="T239" s="37"/>
      <c r="U239" s="1093"/>
      <c r="V239" s="1093"/>
      <c r="W239" s="1093"/>
      <c r="X239" s="37" t="s">
        <v>1055</v>
      </c>
      <c r="Z239" s="1068"/>
      <c r="AA239" s="1068"/>
      <c r="AB239" s="1068"/>
      <c r="AC239" s="1068"/>
      <c r="AD239" s="1068"/>
      <c r="AE239" s="1068"/>
      <c r="AM239" s="37"/>
      <c r="AN239" s="37"/>
      <c r="BB239" t="s">
        <v>1056</v>
      </c>
      <c r="BG239" s="339">
        <f>IF(AND(AND($M$251="for profit",$M$259="for profit",$M$267="for profit")),3,0)</f>
        <v>0</v>
      </c>
    </row>
    <row r="240" spans="1:59" ht="13.35" customHeight="1">
      <c r="D240" s="37" t="s">
        <v>1057</v>
      </c>
      <c r="E240" s="37"/>
      <c r="F240" s="37"/>
      <c r="M240" s="1092" t="s">
        <v>1081</v>
      </c>
      <c r="N240" s="1092"/>
      <c r="O240" s="1092"/>
      <c r="P240" s="1092"/>
      <c r="Q240" s="1092"/>
      <c r="R240" s="1092"/>
      <c r="S240" s="1092"/>
      <c r="T240" s="1092"/>
      <c r="U240" s="1092"/>
      <c r="V240" s="1092"/>
      <c r="W240" s="1092"/>
      <c r="X240" s="1092"/>
      <c r="Y240" s="1092"/>
      <c r="Z240" s="1092"/>
      <c r="AA240" s="1092"/>
      <c r="AB240" s="1092"/>
      <c r="AC240" s="1092"/>
      <c r="AD240" s="1092"/>
      <c r="AE240" s="1092"/>
      <c r="AF240" s="37"/>
      <c r="AG240" s="37"/>
      <c r="AH240" s="37"/>
      <c r="AI240" s="37"/>
      <c r="AJ240" s="37"/>
      <c r="AK240" s="37"/>
      <c r="AL240" s="37"/>
      <c r="AN240" s="37"/>
      <c r="AO240" s="37"/>
      <c r="BB240" t="s">
        <v>1056</v>
      </c>
      <c r="BG240" s="340">
        <f>IF(AND(AND($M$251="for profit",$M$259="for profit",$M$267="(select one)")),3,0)</f>
        <v>0</v>
      </c>
    </row>
    <row r="241" spans="1:67" ht="13.35" customHeight="1">
      <c r="A241" s="3" t="s">
        <v>889</v>
      </c>
      <c r="C241" s="3" t="s">
        <v>1058</v>
      </c>
      <c r="M241" s="1045" t="s">
        <v>1029</v>
      </c>
      <c r="N241" s="1045"/>
      <c r="O241" s="1045"/>
      <c r="P241" s="1045"/>
      <c r="Q241" s="1045"/>
      <c r="R241" s="1045"/>
      <c r="S241" s="1045"/>
      <c r="T241" s="1045"/>
      <c r="U241" s="37" t="s">
        <v>1059</v>
      </c>
      <c r="AA241" s="1067"/>
      <c r="AB241" s="1067"/>
      <c r="AC241" s="1067"/>
      <c r="AD241" s="1067"/>
      <c r="AE241" s="1067"/>
      <c r="AF241" s="1067"/>
      <c r="AG241" s="1067"/>
      <c r="AH241" s="1067"/>
      <c r="AI241" s="1067"/>
      <c r="AJ241" s="1067"/>
      <c r="AK241" s="1067"/>
      <c r="AL241" s="37"/>
      <c r="AM241" s="37"/>
      <c r="AN241" s="37"/>
      <c r="AO241" s="37"/>
      <c r="BB241" t="s">
        <v>1056</v>
      </c>
      <c r="BG241" s="340">
        <f>IF(AND(AND($M$251="for profit",$M$259="(select one)",$M$267="(select one)")),3,0)</f>
        <v>0</v>
      </c>
    </row>
    <row r="242" spans="1:67" ht="13.35" customHeight="1">
      <c r="D242" t="s">
        <v>1060</v>
      </c>
      <c r="M242" s="1070" t="s">
        <v>2521</v>
      </c>
      <c r="N242" s="1044"/>
      <c r="O242" s="1044"/>
      <c r="P242" s="1044"/>
      <c r="Q242" s="1044"/>
      <c r="R242" s="1044"/>
      <c r="S242" s="1044"/>
      <c r="T242" s="1044"/>
      <c r="U242" s="1044"/>
      <c r="V242" s="1044"/>
      <c r="W242" s="1044"/>
      <c r="X242" s="1044"/>
      <c r="Y242" s="1044"/>
      <c r="Z242" s="1044"/>
      <c r="AA242" s="1044"/>
      <c r="AB242" s="1044"/>
      <c r="AC242" s="1044"/>
      <c r="AD242" s="1044"/>
      <c r="AE242" s="1044"/>
      <c r="AF242" s="844" t="str">
        <f>IF(AND(M241="other",M242=""),"!","")</f>
        <v/>
      </c>
      <c r="AG242" s="844"/>
      <c r="AH242" s="37"/>
      <c r="AI242" s="37"/>
      <c r="AJ242" s="37"/>
      <c r="AK242" s="37"/>
      <c r="AL242" s="37"/>
    </row>
    <row r="243" spans="1:67" ht="13.35" customHeight="1">
      <c r="D243" s="37"/>
      <c r="AM243" s="37"/>
    </row>
    <row r="244" spans="1:67" ht="13.35" customHeight="1">
      <c r="A244" s="3" t="s">
        <v>970</v>
      </c>
      <c r="C244" s="3" t="s">
        <v>128</v>
      </c>
      <c r="D244" s="37"/>
      <c r="L244" s="12"/>
      <c r="M244" s="12"/>
      <c r="N244" s="12"/>
      <c r="AN244" s="37"/>
      <c r="BB244" t="s">
        <v>320</v>
      </c>
      <c r="BH244">
        <v>1</v>
      </c>
      <c r="BI244" t="s">
        <v>1061</v>
      </c>
    </row>
    <row r="245" spans="1:67" ht="13.35" customHeight="1">
      <c r="A245" s="865"/>
      <c r="C245" s="55" t="s">
        <v>1062</v>
      </c>
      <c r="D245" s="37" t="s">
        <v>1063</v>
      </c>
      <c r="E245" s="37"/>
      <c r="F245" s="37"/>
      <c r="G245" s="37"/>
      <c r="H245" s="37"/>
      <c r="I245" s="37"/>
      <c r="J245" s="37"/>
      <c r="K245" s="37"/>
      <c r="L245" s="37"/>
      <c r="M245" s="1227" t="s">
        <v>1064</v>
      </c>
      <c r="N245" s="1227"/>
      <c r="O245" s="1227"/>
      <c r="P245" s="1227"/>
      <c r="Q245" s="1227"/>
      <c r="R245" s="1227"/>
      <c r="S245" s="1227"/>
      <c r="T245" s="1227"/>
      <c r="U245" s="1227"/>
      <c r="V245" s="1227"/>
      <c r="W245" s="1227"/>
      <c r="X245" s="1227"/>
      <c r="Y245" s="1227"/>
      <c r="Z245" s="1227"/>
      <c r="AA245" s="1227"/>
      <c r="AB245" s="1227"/>
      <c r="AC245" s="1227"/>
      <c r="AD245" s="1227"/>
      <c r="AE245" s="1227"/>
      <c r="AF245" s="1227" t="s">
        <v>1065</v>
      </c>
      <c r="AG245" s="1227"/>
      <c r="AH245" s="1227"/>
      <c r="AI245" s="1227"/>
      <c r="AJ245" s="1227"/>
      <c r="AK245" s="1227"/>
      <c r="AM245" s="37"/>
      <c r="AN245" s="37"/>
      <c r="BB245" s="37" t="s">
        <v>1066</v>
      </c>
      <c r="BH245">
        <v>2</v>
      </c>
      <c r="BI245" t="s">
        <v>1028</v>
      </c>
      <c r="BO245" s="875" t="e">
        <f>VLOOKUP(AZ260,BH244:BI246,2,FALSE)</f>
        <v>#N/A</v>
      </c>
    </row>
    <row r="246" spans="1:67" ht="13.35" customHeight="1">
      <c r="A246" s="865"/>
      <c r="B246" s="37"/>
      <c r="C246" s="37"/>
      <c r="D246" s="37" t="s">
        <v>1045</v>
      </c>
      <c r="E246" s="37"/>
      <c r="F246" s="37"/>
      <c r="G246" s="37"/>
      <c r="H246" s="37"/>
      <c r="I246" s="37"/>
      <c r="J246" s="37"/>
      <c r="K246" s="37"/>
      <c r="L246" s="37"/>
      <c r="M246" s="1070" t="s">
        <v>1067</v>
      </c>
      <c r="N246" s="1070"/>
      <c r="O246" s="1070"/>
      <c r="P246" s="1070"/>
      <c r="Q246" s="1070"/>
      <c r="R246" s="1070"/>
      <c r="S246" s="1070"/>
      <c r="T246" s="1070"/>
      <c r="U246" s="1070"/>
      <c r="V246" s="1070"/>
      <c r="W246" s="1070"/>
      <c r="X246" s="1070"/>
      <c r="Y246" s="1070"/>
      <c r="Z246" s="1070"/>
      <c r="AA246" s="1070"/>
      <c r="AB246" s="1070"/>
      <c r="AC246" s="1070"/>
      <c r="AD246" s="1070"/>
      <c r="AE246" s="1070"/>
      <c r="AL246" s="37"/>
      <c r="AN246" s="37"/>
      <c r="BB246" s="37" t="s">
        <v>1068</v>
      </c>
      <c r="BH246">
        <v>3</v>
      </c>
      <c r="BI246" t="s">
        <v>1069</v>
      </c>
    </row>
    <row r="247" spans="1:67" ht="13.35" customHeight="1">
      <c r="A247" s="865"/>
      <c r="B247" s="37"/>
      <c r="C247" s="37"/>
      <c r="D247" s="37" t="s">
        <v>907</v>
      </c>
      <c r="E247" s="37"/>
      <c r="M247" s="1070" t="s">
        <v>1070</v>
      </c>
      <c r="N247" s="1070"/>
      <c r="O247" s="1070"/>
      <c r="P247" s="1070"/>
      <c r="Q247" s="1070"/>
      <c r="R247" s="1070"/>
      <c r="S247" s="1070"/>
      <c r="T247" s="1070"/>
      <c r="V247" s="827" t="s">
        <v>1049</v>
      </c>
      <c r="W247" s="1093" t="s">
        <v>1050</v>
      </c>
      <c r="X247" s="1093"/>
      <c r="Y247" s="37" t="s">
        <v>911</v>
      </c>
      <c r="AC247" s="1070">
        <v>90046</v>
      </c>
      <c r="AD247" s="1070"/>
      <c r="AE247" s="1070"/>
      <c r="AN247" s="37"/>
    </row>
    <row r="248" spans="1:67" ht="13.35" customHeight="1">
      <c r="A248" s="865"/>
      <c r="B248" s="37"/>
      <c r="C248" s="37"/>
      <c r="D248" s="37" t="s">
        <v>1051</v>
      </c>
      <c r="E248" s="37"/>
      <c r="F248" s="37"/>
      <c r="G248" s="37"/>
      <c r="H248" s="37"/>
      <c r="I248" s="37"/>
      <c r="J248" s="37"/>
      <c r="K248" s="37"/>
      <c r="L248" s="865"/>
      <c r="M248" s="1070" t="s">
        <v>1071</v>
      </c>
      <c r="N248" s="1070"/>
      <c r="O248" s="1070"/>
      <c r="P248" s="1070"/>
      <c r="Q248" s="1070"/>
      <c r="R248" s="1070"/>
      <c r="S248" s="1070"/>
      <c r="T248" s="1070"/>
      <c r="U248" s="1070"/>
      <c r="V248" s="1070"/>
      <c r="W248" s="1070"/>
      <c r="X248" s="1070"/>
      <c r="Y248" s="1070"/>
      <c r="Z248" s="1070"/>
      <c r="AA248" s="1070"/>
      <c r="AB248" s="1070"/>
      <c r="AC248" s="1070"/>
      <c r="AD248" s="1070"/>
      <c r="AE248" s="1070"/>
      <c r="AJ248" s="37"/>
      <c r="AK248" s="37"/>
      <c r="AL248" s="37"/>
      <c r="AN248" s="37"/>
    </row>
    <row r="249" spans="1:67" ht="13.35" customHeight="1">
      <c r="A249" s="865"/>
      <c r="B249" s="37"/>
      <c r="C249" s="37"/>
      <c r="D249" s="37" t="s">
        <v>1052</v>
      </c>
      <c r="E249" s="37"/>
      <c r="F249" s="37"/>
      <c r="M249" s="1068" t="s">
        <v>1072</v>
      </c>
      <c r="N249" s="1068"/>
      <c r="O249" s="1068"/>
      <c r="P249" s="1068"/>
      <c r="Q249" s="1068"/>
      <c r="R249" s="1068"/>
      <c r="S249" s="37" t="s">
        <v>1054</v>
      </c>
      <c r="T249" s="37"/>
      <c r="U249" s="1093"/>
      <c r="V249" s="1093"/>
      <c r="W249" s="1093"/>
      <c r="X249" s="37" t="s">
        <v>1055</v>
      </c>
      <c r="Z249" s="1068"/>
      <c r="AA249" s="1068"/>
      <c r="AB249" s="1068"/>
      <c r="AC249" s="1068"/>
      <c r="AD249" s="1068"/>
      <c r="AE249" s="1068"/>
      <c r="AM249" s="37"/>
      <c r="AN249" s="37"/>
    </row>
    <row r="250" spans="1:67" ht="13.35" customHeight="1">
      <c r="A250" s="865"/>
      <c r="B250" s="37"/>
      <c r="C250" s="37"/>
      <c r="D250" s="37" t="s">
        <v>1057</v>
      </c>
      <c r="E250" s="37"/>
      <c r="F250" s="37"/>
      <c r="M250" s="1092" t="s">
        <v>1073</v>
      </c>
      <c r="N250" s="1092"/>
      <c r="O250" s="1092"/>
      <c r="P250" s="1092"/>
      <c r="Q250" s="1092"/>
      <c r="R250" s="1092"/>
      <c r="S250" s="1092"/>
      <c r="T250" s="1092"/>
      <c r="U250" s="1092"/>
      <c r="V250" s="1092"/>
      <c r="W250" s="1092"/>
      <c r="X250" s="1092"/>
      <c r="Y250" s="1092"/>
      <c r="Z250" s="1092"/>
      <c r="AA250" s="1092"/>
      <c r="AB250" s="1092"/>
      <c r="AC250" s="1092"/>
      <c r="AD250" s="1092"/>
      <c r="AE250" s="1092"/>
      <c r="AG250" s="37"/>
      <c r="AH250" s="37"/>
      <c r="AI250" s="37"/>
      <c r="AJ250" s="37"/>
      <c r="AK250" s="37"/>
      <c r="AL250" s="37"/>
    </row>
    <row r="251" spans="1:67" ht="13.35" customHeight="1">
      <c r="A251" s="18"/>
      <c r="B251" s="37"/>
      <c r="C251" s="55"/>
      <c r="D251" s="37" t="s">
        <v>1074</v>
      </c>
      <c r="E251" s="37"/>
      <c r="F251" s="37"/>
      <c r="G251" s="37"/>
      <c r="H251" s="37"/>
      <c r="I251" s="37"/>
      <c r="J251" s="37"/>
      <c r="K251" s="37"/>
      <c r="L251" s="37"/>
      <c r="M251" s="1045" t="s">
        <v>1061</v>
      </c>
      <c r="N251" s="1045"/>
      <c r="O251" s="1045"/>
      <c r="P251" s="1045"/>
      <c r="Q251" s="1045"/>
      <c r="R251" s="1045"/>
      <c r="S251" s="1045"/>
      <c r="T251" s="1045"/>
      <c r="U251" s="37" t="s">
        <v>1059</v>
      </c>
      <c r="AA251" s="1067" t="s">
        <v>1075</v>
      </c>
      <c r="AB251" s="1067"/>
      <c r="AC251" s="1067"/>
      <c r="AD251" s="1067"/>
      <c r="AE251" s="1067"/>
      <c r="AF251" s="1067"/>
      <c r="AG251" s="1067"/>
      <c r="AH251" s="1067"/>
      <c r="AI251" s="1067"/>
      <c r="AJ251" s="1067"/>
      <c r="AK251" s="1067"/>
      <c r="AM251" s="37"/>
    </row>
    <row r="252" spans="1:67" ht="13.35" customHeight="1">
      <c r="A252" s="865"/>
      <c r="B252" s="37"/>
      <c r="C252" s="37"/>
      <c r="D252" s="37"/>
      <c r="E252" s="37"/>
      <c r="F252" s="37"/>
      <c r="G252" s="37"/>
      <c r="H252" s="37"/>
      <c r="I252" s="37"/>
      <c r="J252" s="37"/>
      <c r="K252" s="37"/>
      <c r="L252" s="37"/>
      <c r="AG252" s="37"/>
      <c r="AH252" s="37"/>
      <c r="AI252" s="37"/>
      <c r="AJ252" s="37"/>
    </row>
    <row r="253" spans="1:67" ht="13.35" customHeight="1">
      <c r="A253" s="3"/>
      <c r="B253" s="37"/>
      <c r="C253" s="55" t="s">
        <v>1076</v>
      </c>
      <c r="D253" s="37" t="s">
        <v>1077</v>
      </c>
      <c r="E253" s="37"/>
      <c r="F253" s="37"/>
      <c r="G253" s="37"/>
      <c r="H253" s="37"/>
      <c r="I253" s="37"/>
      <c r="J253" s="37"/>
      <c r="K253" s="37"/>
      <c r="L253" s="37"/>
      <c r="M253" s="1227" t="s">
        <v>1078</v>
      </c>
      <c r="N253" s="1227"/>
      <c r="O253" s="1227"/>
      <c r="P253" s="1227"/>
      <c r="Q253" s="1227"/>
      <c r="R253" s="1227"/>
      <c r="S253" s="1227"/>
      <c r="T253" s="1227"/>
      <c r="U253" s="1227"/>
      <c r="V253" s="1227"/>
      <c r="W253" s="1227"/>
      <c r="X253" s="1227"/>
      <c r="Y253" s="1227"/>
      <c r="Z253" s="1227"/>
      <c r="AA253" s="1227"/>
      <c r="AB253" s="1227"/>
      <c r="AC253" s="1227"/>
      <c r="AD253" s="1227"/>
      <c r="AE253" s="1227"/>
      <c r="AF253" s="1227" t="s">
        <v>1079</v>
      </c>
      <c r="AG253" s="1227"/>
      <c r="AH253" s="1227"/>
      <c r="AI253" s="1227"/>
      <c r="AJ253" s="1227"/>
      <c r="AK253" s="1227"/>
      <c r="AM253" s="37"/>
    </row>
    <row r="254" spans="1:67" ht="13.35" customHeight="1">
      <c r="A254" s="865"/>
      <c r="B254" s="37"/>
      <c r="C254" s="37"/>
      <c r="D254" s="37" t="s">
        <v>1045</v>
      </c>
      <c r="E254" s="37"/>
      <c r="F254" s="37"/>
      <c r="G254" s="37"/>
      <c r="H254" s="37"/>
      <c r="I254" s="37"/>
      <c r="J254" s="37"/>
      <c r="K254" s="37"/>
      <c r="L254" s="37"/>
      <c r="M254" s="1070" t="s">
        <v>1080</v>
      </c>
      <c r="N254" s="1070"/>
      <c r="O254" s="1070"/>
      <c r="P254" s="1070"/>
      <c r="Q254" s="1070"/>
      <c r="R254" s="1070"/>
      <c r="S254" s="1070"/>
      <c r="T254" s="1070"/>
      <c r="U254" s="1070"/>
      <c r="V254" s="1070"/>
      <c r="W254" s="1070"/>
      <c r="X254" s="1070"/>
      <c r="Y254" s="1070"/>
      <c r="Z254" s="1070"/>
      <c r="AA254" s="1070"/>
      <c r="AB254" s="1070"/>
      <c r="AC254" s="1070"/>
      <c r="AD254" s="1070"/>
      <c r="AE254" s="1070"/>
      <c r="AL254" s="37"/>
    </row>
    <row r="255" spans="1:67" ht="13.35" customHeight="1">
      <c r="A255" s="865"/>
      <c r="B255" s="37"/>
      <c r="C255" s="37"/>
      <c r="D255" s="37" t="s">
        <v>907</v>
      </c>
      <c r="E255" s="37"/>
      <c r="M255" s="1070" t="s">
        <v>1048</v>
      </c>
      <c r="N255" s="1070"/>
      <c r="O255" s="1070"/>
      <c r="P255" s="1070"/>
      <c r="Q255" s="1070"/>
      <c r="R255" s="1070"/>
      <c r="S255" s="1070"/>
      <c r="T255" s="1070"/>
      <c r="V255" s="827" t="s">
        <v>1049</v>
      </c>
      <c r="W255" s="1093" t="s">
        <v>1050</v>
      </c>
      <c r="X255" s="1093"/>
      <c r="Y255" s="37" t="s">
        <v>911</v>
      </c>
      <c r="AC255" s="1070">
        <v>9022</v>
      </c>
      <c r="AD255" s="1070"/>
      <c r="AE255" s="1070"/>
    </row>
    <row r="256" spans="1:67" ht="13.35" customHeight="1">
      <c r="A256" s="865"/>
      <c r="B256" s="37"/>
      <c r="C256" s="37"/>
      <c r="D256" s="37" t="s">
        <v>1051</v>
      </c>
      <c r="E256" s="37"/>
      <c r="F256" s="37"/>
      <c r="G256" s="37"/>
      <c r="H256" s="37"/>
      <c r="I256" s="37"/>
      <c r="J256" s="37"/>
      <c r="K256" s="37"/>
      <c r="L256" s="865"/>
      <c r="M256" s="1070" t="s">
        <v>797</v>
      </c>
      <c r="N256" s="1070"/>
      <c r="O256" s="1070"/>
      <c r="P256" s="1070"/>
      <c r="Q256" s="1070"/>
      <c r="R256" s="1070"/>
      <c r="S256" s="1070"/>
      <c r="T256" s="1070"/>
      <c r="U256" s="1070"/>
      <c r="V256" s="1070"/>
      <c r="W256" s="1070"/>
      <c r="X256" s="1070"/>
      <c r="Y256" s="1070"/>
      <c r="Z256" s="1070"/>
      <c r="AA256" s="1070"/>
      <c r="AB256" s="1070"/>
      <c r="AC256" s="1070"/>
      <c r="AD256" s="1070"/>
      <c r="AE256" s="1070"/>
      <c r="AJ256" s="37"/>
      <c r="AK256" s="37"/>
      <c r="AL256" s="37"/>
    </row>
    <row r="257" spans="1:53" ht="13.35" customHeight="1">
      <c r="A257" s="865"/>
      <c r="B257" s="37"/>
      <c r="C257" s="37"/>
      <c r="D257" s="37" t="s">
        <v>1052</v>
      </c>
      <c r="E257" s="37"/>
      <c r="F257" s="37"/>
      <c r="M257" s="1068" t="s">
        <v>1053</v>
      </c>
      <c r="N257" s="1068"/>
      <c r="O257" s="1068"/>
      <c r="P257" s="1068"/>
      <c r="Q257" s="1068"/>
      <c r="R257" s="1068"/>
      <c r="S257" s="37" t="s">
        <v>1054</v>
      </c>
      <c r="T257" s="37"/>
      <c r="U257" s="1093"/>
      <c r="V257" s="1093"/>
      <c r="W257" s="1093"/>
      <c r="X257" s="37" t="s">
        <v>1055</v>
      </c>
      <c r="Z257" s="1068"/>
      <c r="AA257" s="1068"/>
      <c r="AB257" s="1068"/>
      <c r="AC257" s="1068"/>
      <c r="AD257" s="1068"/>
      <c r="AE257" s="1068"/>
      <c r="BA257" s="37"/>
    </row>
    <row r="258" spans="1:53" ht="13.35" customHeight="1">
      <c r="A258" s="865"/>
      <c r="B258" s="37"/>
      <c r="C258" s="37"/>
      <c r="D258" s="37" t="s">
        <v>1057</v>
      </c>
      <c r="E258" s="37"/>
      <c r="F258" s="37"/>
      <c r="M258" s="1092" t="s">
        <v>1081</v>
      </c>
      <c r="N258" s="1092"/>
      <c r="O258" s="1092"/>
      <c r="P258" s="1092"/>
      <c r="Q258" s="1092"/>
      <c r="R258" s="1092"/>
      <c r="S258" s="1092"/>
      <c r="T258" s="1092"/>
      <c r="U258" s="1092"/>
      <c r="V258" s="1092"/>
      <c r="W258" s="1092"/>
      <c r="X258" s="1092"/>
      <c r="Y258" s="1092"/>
      <c r="Z258" s="1092"/>
      <c r="AA258" s="1092"/>
      <c r="AB258" s="1092"/>
      <c r="AC258" s="1092"/>
      <c r="AD258" s="1092"/>
      <c r="AE258" s="1092"/>
      <c r="AG258" s="37"/>
      <c r="AH258" s="37"/>
      <c r="AI258" s="37"/>
      <c r="AJ258" s="37"/>
      <c r="AK258" s="37"/>
      <c r="AL258" s="37"/>
    </row>
    <row r="259" spans="1:53" ht="13.35" customHeight="1">
      <c r="A259" s="18"/>
      <c r="B259" s="37"/>
      <c r="C259" s="55"/>
      <c r="D259" s="37" t="s">
        <v>1074</v>
      </c>
      <c r="E259" s="37"/>
      <c r="F259" s="37"/>
      <c r="G259" s="37"/>
      <c r="H259" s="37"/>
      <c r="I259" s="37"/>
      <c r="J259" s="37"/>
      <c r="K259" s="37"/>
      <c r="L259" s="37"/>
      <c r="M259" s="1045" t="s">
        <v>1069</v>
      </c>
      <c r="N259" s="1045"/>
      <c r="O259" s="1045"/>
      <c r="P259" s="1045"/>
      <c r="Q259" s="1045"/>
      <c r="R259" s="1045"/>
      <c r="S259" s="1045"/>
      <c r="T259" s="1045"/>
      <c r="U259" s="37" t="s">
        <v>1059</v>
      </c>
      <c r="AA259" s="1067" t="s">
        <v>1082</v>
      </c>
      <c r="AB259" s="1067"/>
      <c r="AC259" s="1067"/>
      <c r="AD259" s="1067"/>
      <c r="AE259" s="1067"/>
      <c r="AF259" s="1067"/>
      <c r="AG259" s="1067"/>
      <c r="AH259" s="1067"/>
      <c r="AI259" s="1067"/>
      <c r="AJ259" s="1067"/>
      <c r="AK259" s="1067"/>
      <c r="AL259" s="37"/>
    </row>
    <row r="260" spans="1:53" ht="13.3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0</v>
      </c>
    </row>
    <row r="261" spans="1:53" ht="13.35" customHeight="1">
      <c r="A261" s="18"/>
      <c r="B261" s="37"/>
      <c r="C261" s="55" t="s">
        <v>1083</v>
      </c>
      <c r="D261" s="37" t="s">
        <v>1063</v>
      </c>
      <c r="E261" s="37"/>
      <c r="F261" s="37"/>
      <c r="G261" s="37"/>
      <c r="H261" s="37"/>
      <c r="I261" s="37"/>
      <c r="J261" s="37"/>
      <c r="K261" s="37"/>
      <c r="L261" s="37"/>
      <c r="M261" s="1227"/>
      <c r="N261" s="1227"/>
      <c r="O261" s="1227"/>
      <c r="P261" s="1227"/>
      <c r="Q261" s="1227"/>
      <c r="R261" s="1227"/>
      <c r="S261" s="1227"/>
      <c r="T261" s="1227"/>
      <c r="U261" s="1227"/>
      <c r="V261" s="1227"/>
      <c r="W261" s="1227"/>
      <c r="X261" s="1227"/>
      <c r="Y261" s="1227"/>
      <c r="Z261" s="1227"/>
      <c r="AA261" s="1227"/>
      <c r="AB261" s="1227"/>
      <c r="AC261" s="1227"/>
      <c r="AD261" s="1227"/>
      <c r="AE261" s="1227"/>
      <c r="AF261" s="1227" t="s">
        <v>320</v>
      </c>
      <c r="AG261" s="1227"/>
      <c r="AH261" s="1227"/>
      <c r="AI261" s="1227"/>
      <c r="AJ261" s="1227"/>
      <c r="AK261" s="1227"/>
      <c r="AL261" s="37"/>
    </row>
    <row r="262" spans="1:53" ht="13.35" customHeight="1">
      <c r="A262" s="18"/>
      <c r="B262" s="37"/>
      <c r="C262" s="37"/>
      <c r="D262" s="37" t="s">
        <v>1045</v>
      </c>
      <c r="E262" s="37"/>
      <c r="F262" s="37"/>
      <c r="G262" s="37"/>
      <c r="H262" s="37"/>
      <c r="I262" s="37"/>
      <c r="J262" s="37"/>
      <c r="K262" s="37"/>
      <c r="L262" s="37"/>
      <c r="M262" s="1070"/>
      <c r="N262" s="1070"/>
      <c r="O262" s="1070"/>
      <c r="P262" s="1070"/>
      <c r="Q262" s="1070"/>
      <c r="R262" s="1070"/>
      <c r="S262" s="1070"/>
      <c r="T262" s="1070"/>
      <c r="U262" s="1070"/>
      <c r="V262" s="1070"/>
      <c r="W262" s="1070"/>
      <c r="X262" s="1070"/>
      <c r="Y262" s="1070"/>
      <c r="Z262" s="1070"/>
      <c r="AA262" s="1070"/>
      <c r="AB262" s="1070"/>
      <c r="AC262" s="1070"/>
      <c r="AD262" s="1070"/>
      <c r="AE262" s="1070"/>
      <c r="AL262" s="37"/>
      <c r="BA262" s="37"/>
    </row>
    <row r="263" spans="1:53" ht="13.35" customHeight="1">
      <c r="A263" s="18"/>
      <c r="B263" s="37"/>
      <c r="C263" s="37"/>
      <c r="D263" s="37" t="s">
        <v>907</v>
      </c>
      <c r="E263" s="37"/>
      <c r="M263" s="1070"/>
      <c r="N263" s="1070"/>
      <c r="O263" s="1070"/>
      <c r="P263" s="1070"/>
      <c r="Q263" s="1070"/>
      <c r="R263" s="1070"/>
      <c r="S263" s="1070"/>
      <c r="T263" s="1070"/>
      <c r="V263" s="827" t="s">
        <v>1049</v>
      </c>
      <c r="W263" s="1093"/>
      <c r="X263" s="1093"/>
      <c r="Y263" s="37" t="s">
        <v>911</v>
      </c>
      <c r="AC263" s="1070"/>
      <c r="AD263" s="1070"/>
      <c r="AE263" s="1070"/>
      <c r="AL263" s="37"/>
      <c r="BA263" s="37"/>
    </row>
    <row r="264" spans="1:53" ht="13.35" customHeight="1">
      <c r="A264" s="18"/>
      <c r="B264" s="37"/>
      <c r="C264" s="37"/>
      <c r="D264" s="37" t="s">
        <v>1051</v>
      </c>
      <c r="E264" s="37"/>
      <c r="F264" s="37"/>
      <c r="G264" s="37"/>
      <c r="H264" s="37"/>
      <c r="I264" s="37"/>
      <c r="J264" s="37"/>
      <c r="K264" s="37"/>
      <c r="L264" s="865"/>
      <c r="M264" s="1070"/>
      <c r="N264" s="1070"/>
      <c r="O264" s="1070"/>
      <c r="P264" s="1070"/>
      <c r="Q264" s="1070"/>
      <c r="R264" s="1070"/>
      <c r="S264" s="1070"/>
      <c r="T264" s="1070"/>
      <c r="U264" s="1070"/>
      <c r="V264" s="1070"/>
      <c r="W264" s="1070"/>
      <c r="X264" s="1070"/>
      <c r="Y264" s="1070"/>
      <c r="Z264" s="1070"/>
      <c r="AA264" s="1070"/>
      <c r="AB264" s="1070"/>
      <c r="AC264" s="1070"/>
      <c r="AD264" s="1070"/>
      <c r="AE264" s="1070"/>
      <c r="AJ264" s="37"/>
      <c r="AK264" s="37"/>
      <c r="AL264" s="37"/>
      <c r="BA264" s="37"/>
    </row>
    <row r="265" spans="1:53" ht="13.35" customHeight="1">
      <c r="A265" s="18"/>
      <c r="B265" s="37"/>
      <c r="C265" s="37"/>
      <c r="D265" s="37" t="s">
        <v>1052</v>
      </c>
      <c r="E265" s="37"/>
      <c r="F265" s="37"/>
      <c r="M265" s="1068"/>
      <c r="N265" s="1068"/>
      <c r="O265" s="1068"/>
      <c r="P265" s="1068"/>
      <c r="Q265" s="1068"/>
      <c r="R265" s="1068"/>
      <c r="S265" s="37" t="s">
        <v>1054</v>
      </c>
      <c r="T265" s="37"/>
      <c r="U265" s="1093"/>
      <c r="V265" s="1093"/>
      <c r="W265" s="1093"/>
      <c r="X265" s="37" t="s">
        <v>1055</v>
      </c>
      <c r="Z265" s="1068"/>
      <c r="AA265" s="1068"/>
      <c r="AB265" s="1068"/>
      <c r="AC265" s="1068"/>
      <c r="AD265" s="1068"/>
      <c r="AE265" s="1068"/>
      <c r="AL265" s="37"/>
      <c r="BA265" s="37"/>
    </row>
    <row r="266" spans="1:53" ht="13.35" customHeight="1">
      <c r="A266" s="18"/>
      <c r="B266" s="37"/>
      <c r="C266" s="37"/>
      <c r="D266" s="37" t="s">
        <v>1057</v>
      </c>
      <c r="E266" s="37"/>
      <c r="F266" s="37"/>
      <c r="M266" s="1092"/>
      <c r="N266" s="1092"/>
      <c r="O266" s="1092"/>
      <c r="P266" s="1092"/>
      <c r="Q266" s="1092"/>
      <c r="R266" s="1092"/>
      <c r="S266" s="1092"/>
      <c r="T266" s="1092"/>
      <c r="U266" s="1092"/>
      <c r="V266" s="1092"/>
      <c r="W266" s="1092"/>
      <c r="X266" s="1092"/>
      <c r="Y266" s="1092"/>
      <c r="Z266" s="1092"/>
      <c r="AA266" s="1092"/>
      <c r="AB266" s="1092"/>
      <c r="AC266" s="1092"/>
      <c r="AD266" s="1092"/>
      <c r="AE266" s="1092"/>
      <c r="AG266" s="37"/>
      <c r="AH266" s="37"/>
      <c r="AI266" s="37"/>
      <c r="AJ266" s="37"/>
      <c r="AK266" s="37"/>
      <c r="AL266" s="37"/>
      <c r="BA266" s="37"/>
    </row>
    <row r="267" spans="1:53" ht="13.35" customHeight="1">
      <c r="A267" s="18"/>
      <c r="B267" s="37"/>
      <c r="C267" s="55"/>
      <c r="D267" s="37" t="s">
        <v>1074</v>
      </c>
      <c r="E267" s="37"/>
      <c r="F267" s="37"/>
      <c r="G267" s="37"/>
      <c r="H267" s="37"/>
      <c r="I267" s="37"/>
      <c r="J267" s="37"/>
      <c r="K267" s="37"/>
      <c r="L267" s="37"/>
      <c r="M267" s="1045"/>
      <c r="N267" s="1045"/>
      <c r="O267" s="1045"/>
      <c r="P267" s="1045"/>
      <c r="Q267" s="1045"/>
      <c r="R267" s="1045"/>
      <c r="S267" s="1045"/>
      <c r="T267" s="1045"/>
      <c r="U267" s="37" t="s">
        <v>1059</v>
      </c>
      <c r="AA267" s="1067"/>
      <c r="AB267" s="1067"/>
      <c r="AC267" s="1067"/>
      <c r="AD267" s="1067"/>
      <c r="AE267" s="1067"/>
      <c r="AF267" s="1067"/>
      <c r="AG267" s="1067"/>
      <c r="AH267" s="1067"/>
      <c r="AI267" s="1067"/>
      <c r="AJ267" s="1067"/>
      <c r="AK267" s="1067"/>
      <c r="AL267" s="37"/>
      <c r="BA267" s="37"/>
    </row>
    <row r="268" spans="1:53" ht="13.35" customHeight="1">
      <c r="A268" s="86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3.35" customHeight="1">
      <c r="A269" s="56" t="s">
        <v>991</v>
      </c>
      <c r="B269" s="37"/>
      <c r="C269" s="3" t="s">
        <v>1084</v>
      </c>
      <c r="D269" s="37"/>
      <c r="E269" s="37"/>
      <c r="F269" s="37"/>
      <c r="G269" s="37"/>
      <c r="H269" s="37"/>
      <c r="I269" s="37"/>
      <c r="J269" s="37"/>
      <c r="K269" s="37"/>
      <c r="L269" s="37"/>
      <c r="M269" s="232"/>
      <c r="N269" s="232"/>
      <c r="O269" s="232"/>
      <c r="P269" s="232"/>
      <c r="Q269" s="232"/>
      <c r="T269" s="1091" t="e">
        <f>BO245</f>
        <v>#N/A</v>
      </c>
      <c r="U269" s="1091"/>
      <c r="V269" s="1091"/>
      <c r="W269" s="1091"/>
      <c r="X269" s="1091"/>
      <c r="Z269" s="399" t="s">
        <v>1085</v>
      </c>
      <c r="AA269" s="7"/>
      <c r="AB269" s="7"/>
      <c r="AC269" s="7"/>
      <c r="AD269" s="7"/>
      <c r="AE269" s="7"/>
      <c r="AF269" s="876"/>
      <c r="AG269" s="876"/>
      <c r="AH269" s="876"/>
      <c r="AI269" s="876"/>
      <c r="AJ269" s="876"/>
      <c r="AK269" s="7"/>
      <c r="AL269" s="57"/>
      <c r="BA269" s="37"/>
    </row>
    <row r="270" spans="1:53" ht="13.35" customHeight="1">
      <c r="A270" s="3"/>
      <c r="B270" s="37"/>
      <c r="C270" s="3"/>
      <c r="I270" s="37"/>
      <c r="J270" s="37"/>
      <c r="K270" s="37"/>
      <c r="L270" s="37"/>
      <c r="M270" s="232"/>
      <c r="N270" s="232"/>
      <c r="O270" s="232"/>
      <c r="P270" s="232"/>
      <c r="Q270" s="232"/>
      <c r="T270" s="37"/>
      <c r="U270" s="37"/>
      <c r="V270" s="37"/>
      <c r="W270" s="232"/>
      <c r="Z270" s="400" t="s">
        <v>1086</v>
      </c>
      <c r="AF270" s="37"/>
      <c r="AG270" s="37"/>
      <c r="AH270" s="37"/>
      <c r="AI270" s="37"/>
      <c r="AJ270" s="37"/>
      <c r="AL270" s="63"/>
      <c r="BA270" s="37"/>
    </row>
    <row r="271" spans="1:53" ht="13.35" customHeight="1">
      <c r="A271" s="3" t="s">
        <v>1006</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1" t="s">
        <v>1087</v>
      </c>
      <c r="AA271" s="47"/>
      <c r="AB271" s="47"/>
      <c r="AC271" s="47"/>
      <c r="AD271" s="339"/>
      <c r="AE271" s="339"/>
      <c r="AF271" s="339"/>
      <c r="AG271" s="339"/>
      <c r="AH271" s="339"/>
      <c r="AI271" s="339"/>
      <c r="AJ271" s="339"/>
      <c r="AK271" s="339"/>
      <c r="AL271" s="402"/>
    </row>
    <row r="272" spans="1:53" ht="13.35" customHeight="1">
      <c r="A272" s="37"/>
      <c r="B272" s="38">
        <v>0</v>
      </c>
      <c r="D272" s="1070" t="s">
        <v>1066</v>
      </c>
      <c r="E272" s="1070"/>
      <c r="F272" s="1070"/>
      <c r="G272" s="1070"/>
      <c r="H272" s="1070"/>
      <c r="J272" t="s">
        <v>1088</v>
      </c>
      <c r="X272" s="1244"/>
      <c r="Y272" s="1244"/>
      <c r="Z272" s="1244"/>
      <c r="AA272" s="1244"/>
      <c r="AB272" s="1244"/>
      <c r="AC272" s="1244"/>
      <c r="BA272" s="37"/>
    </row>
    <row r="273" spans="1:53" ht="13.35" customHeight="1">
      <c r="A273" s="37"/>
      <c r="B273" s="865"/>
      <c r="D273" s="39" t="s">
        <v>1089</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3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4"/>
      <c r="AA274" s="414"/>
      <c r="AB274" s="414"/>
      <c r="AC274" s="414"/>
      <c r="AD274" s="414"/>
      <c r="AE274" s="37"/>
      <c r="AK274" s="37"/>
      <c r="AL274" s="37"/>
      <c r="BA274" s="37"/>
    </row>
    <row r="275" spans="1:53" ht="13.35" customHeight="1">
      <c r="A275" s="3" t="s">
        <v>1016</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35" customHeight="1">
      <c r="D276" s="37" t="s">
        <v>1090</v>
      </c>
      <c r="E276" s="37"/>
      <c r="F276" s="37"/>
      <c r="G276" s="37"/>
      <c r="H276" s="37"/>
      <c r="I276" s="37"/>
      <c r="J276" s="37"/>
      <c r="K276" s="37"/>
      <c r="L276" s="1227" t="str">
        <f>+M253</f>
        <v>Veteran SFS GP, LLC</v>
      </c>
      <c r="M276" s="1227"/>
      <c r="N276" s="1227"/>
      <c r="O276" s="1227"/>
      <c r="P276" s="1227"/>
      <c r="Q276" s="1227"/>
      <c r="R276" s="1227"/>
      <c r="S276" s="1227"/>
      <c r="T276" s="1227"/>
      <c r="U276" s="1227"/>
      <c r="V276" s="1227"/>
      <c r="W276" s="1227"/>
      <c r="X276" s="1227"/>
      <c r="Y276" s="1227"/>
      <c r="Z276" s="1227"/>
      <c r="AA276" s="1227"/>
      <c r="AB276" s="1227"/>
      <c r="AC276" s="1227"/>
      <c r="AD276" s="1227"/>
      <c r="AE276" s="1227"/>
      <c r="AF276" s="1227"/>
      <c r="AG276" s="1227"/>
      <c r="AH276" s="1227"/>
      <c r="AI276" s="1227"/>
      <c r="AJ276" s="1227"/>
      <c r="AK276" s="37"/>
      <c r="AL276" s="37"/>
      <c r="BA276" s="37"/>
    </row>
    <row r="277" spans="1:53" ht="13.35" customHeight="1">
      <c r="D277" s="37" t="s">
        <v>1045</v>
      </c>
      <c r="E277" s="37"/>
      <c r="F277" s="37"/>
      <c r="G277" s="37"/>
      <c r="H277" s="37"/>
      <c r="I277" s="37"/>
      <c r="J277" s="37"/>
      <c r="K277" s="37"/>
      <c r="L277" s="1070" t="s">
        <v>1091</v>
      </c>
      <c r="M277" s="1070"/>
      <c r="N277" s="1070"/>
      <c r="O277" s="1070"/>
      <c r="P277" s="1070"/>
      <c r="Q277" s="1070"/>
      <c r="R277" s="1070"/>
      <c r="S277" s="1070"/>
      <c r="T277" s="1070"/>
      <c r="U277" s="1070"/>
      <c r="V277" s="1070"/>
      <c r="W277" s="1070"/>
      <c r="X277" s="1070"/>
      <c r="Y277" s="1070"/>
      <c r="Z277" s="1070"/>
      <c r="AA277" s="1070"/>
      <c r="AB277" s="1070"/>
      <c r="AC277" s="1070"/>
      <c r="AD277" s="1070"/>
      <c r="AK277" s="37"/>
      <c r="AL277" s="37"/>
      <c r="BA277" s="37"/>
    </row>
    <row r="278" spans="1:53" ht="13.35" customHeight="1">
      <c r="D278" s="37" t="s">
        <v>907</v>
      </c>
      <c r="E278" s="37"/>
      <c r="L278" s="1070" t="s">
        <v>1048</v>
      </c>
      <c r="M278" s="1070"/>
      <c r="N278" s="1070"/>
      <c r="O278" s="1070"/>
      <c r="P278" s="1070"/>
      <c r="Q278" s="1070"/>
      <c r="R278" s="1070"/>
      <c r="S278" s="1070"/>
      <c r="U278" s="827" t="s">
        <v>1049</v>
      </c>
      <c r="V278" s="1093" t="s">
        <v>1050</v>
      </c>
      <c r="W278" s="1093"/>
      <c r="X278" s="37" t="s">
        <v>911</v>
      </c>
      <c r="AB278" s="1070">
        <v>90232</v>
      </c>
      <c r="AC278" s="1070"/>
      <c r="AD278" s="1070"/>
      <c r="AK278" s="37"/>
      <c r="AL278" s="37"/>
      <c r="BA278" s="37"/>
    </row>
    <row r="279" spans="1:53" ht="13.35" customHeight="1">
      <c r="D279" s="37" t="s">
        <v>1051</v>
      </c>
      <c r="E279" s="37"/>
      <c r="F279" s="37"/>
      <c r="G279" s="37"/>
      <c r="H279" s="37"/>
      <c r="I279" s="37"/>
      <c r="J279" s="37"/>
      <c r="K279" s="865"/>
      <c r="L279" s="1070" t="s">
        <v>797</v>
      </c>
      <c r="M279" s="1070"/>
      <c r="N279" s="1070"/>
      <c r="O279" s="1070"/>
      <c r="P279" s="1070"/>
      <c r="Q279" s="1070"/>
      <c r="R279" s="1070"/>
      <c r="S279" s="1070"/>
      <c r="T279" s="1070"/>
      <c r="U279" s="1070"/>
      <c r="V279" s="1070"/>
      <c r="W279" s="1070"/>
      <c r="X279" s="1070"/>
      <c r="Y279" s="1070"/>
      <c r="Z279" s="1070"/>
      <c r="AA279" s="1070"/>
      <c r="AB279" s="1070"/>
      <c r="AC279" s="1070"/>
      <c r="AD279" s="1070"/>
      <c r="AI279" s="37"/>
      <c r="AJ279" s="37"/>
      <c r="AK279" s="37"/>
      <c r="AL279" s="37"/>
      <c r="BA279" s="37"/>
    </row>
    <row r="280" spans="1:53" ht="13.35" customHeight="1">
      <c r="D280" s="37" t="s">
        <v>1052</v>
      </c>
      <c r="E280" s="37"/>
      <c r="F280" s="37"/>
      <c r="L280" s="1068" t="s">
        <v>1053</v>
      </c>
      <c r="M280" s="1068"/>
      <c r="N280" s="1068"/>
      <c r="O280" s="1068"/>
      <c r="P280" s="1068"/>
      <c r="Q280" s="1068"/>
      <c r="R280" s="37" t="s">
        <v>1054</v>
      </c>
      <c r="S280" s="37"/>
      <c r="T280" s="1093"/>
      <c r="U280" s="1093"/>
      <c r="V280" s="1093"/>
      <c r="W280" s="37" t="s">
        <v>1055</v>
      </c>
      <c r="Y280" s="1068"/>
      <c r="Z280" s="1068"/>
      <c r="AA280" s="1068"/>
      <c r="AB280" s="1068"/>
      <c r="AC280" s="1068"/>
      <c r="AD280" s="1068"/>
      <c r="BA280" s="37"/>
    </row>
    <row r="281" spans="1:53" ht="13.35" customHeight="1">
      <c r="D281" s="37" t="s">
        <v>1057</v>
      </c>
      <c r="E281" s="37"/>
      <c r="F281" s="37"/>
      <c r="L281" s="1092" t="s">
        <v>1081</v>
      </c>
      <c r="M281" s="1092"/>
      <c r="N281" s="1092"/>
      <c r="O281" s="1092"/>
      <c r="P281" s="1092"/>
      <c r="Q281" s="1092"/>
      <c r="R281" s="1092"/>
      <c r="S281" s="1092"/>
      <c r="T281" s="1092"/>
      <c r="U281" s="1092"/>
      <c r="V281" s="1092"/>
      <c r="W281" s="1092"/>
      <c r="X281" s="1092"/>
      <c r="Y281" s="1092"/>
      <c r="Z281" s="1092"/>
      <c r="AA281" s="1092"/>
      <c r="AB281" s="1092"/>
      <c r="AC281" s="1092"/>
      <c r="AD281" s="1092"/>
      <c r="AF281" s="37"/>
      <c r="AG281" s="37"/>
      <c r="AH281" s="37"/>
      <c r="AI281" s="37"/>
      <c r="AJ281" s="37"/>
      <c r="BA281" s="37"/>
    </row>
    <row r="282" spans="1:53" ht="13.35" customHeight="1">
      <c r="D282" s="37" t="s">
        <v>1092</v>
      </c>
      <c r="E282" s="37"/>
      <c r="F282" s="37"/>
      <c r="G282" s="37"/>
      <c r="H282" s="37"/>
      <c r="I282" s="37"/>
      <c r="L282" s="1093" t="s">
        <v>1093</v>
      </c>
      <c r="M282" s="1093"/>
      <c r="N282" s="1093"/>
      <c r="O282" s="1093"/>
      <c r="P282" s="1093"/>
      <c r="Q282" s="1093"/>
      <c r="R282" s="1093"/>
      <c r="S282" s="1093"/>
      <c r="T282" s="1093"/>
      <c r="U282" s="1093"/>
      <c r="V282" s="1093"/>
      <c r="W282" s="1093"/>
      <c r="X282" s="1093"/>
      <c r="Y282" s="1093"/>
      <c r="Z282" s="1093"/>
      <c r="AA282" s="1093"/>
      <c r="AB282" s="1093"/>
      <c r="AC282" s="1093"/>
      <c r="AD282" s="1093"/>
      <c r="AK282" s="37"/>
      <c r="AL282" s="37"/>
      <c r="BA282" s="37"/>
    </row>
    <row r="283" spans="1:53" ht="13.35" customHeight="1">
      <c r="L283" s="4" t="s">
        <v>1094</v>
      </c>
      <c r="BA283" s="37"/>
    </row>
    <row r="284" spans="1:53" ht="13.35" customHeight="1">
      <c r="A284" s="1229" t="s">
        <v>1095</v>
      </c>
      <c r="B284" s="1229"/>
      <c r="C284" s="1229"/>
      <c r="D284" s="1229"/>
      <c r="E284" s="1229"/>
      <c r="F284" s="1229"/>
      <c r="G284" s="1229"/>
      <c r="H284" s="1229"/>
      <c r="I284" s="1229"/>
      <c r="J284" s="1229"/>
      <c r="K284" s="1229"/>
      <c r="L284" s="1229"/>
      <c r="M284" s="1229"/>
      <c r="N284" s="1229"/>
      <c r="O284" s="1229"/>
      <c r="P284" s="1229"/>
      <c r="Q284" s="1229"/>
      <c r="R284" s="1229"/>
      <c r="S284" s="1229"/>
      <c r="T284" s="1229"/>
      <c r="U284" s="1229"/>
      <c r="V284" s="1229"/>
      <c r="W284" s="1229"/>
      <c r="X284" s="1229"/>
      <c r="Y284" s="1229"/>
      <c r="Z284" s="1229"/>
      <c r="AA284" s="1229"/>
      <c r="AB284" s="1229"/>
      <c r="AC284" s="1229"/>
      <c r="AD284" s="1229"/>
      <c r="AE284" s="1229"/>
      <c r="AF284" s="1229"/>
      <c r="AG284" s="1229"/>
      <c r="AH284" s="1229"/>
      <c r="AI284" s="1229"/>
      <c r="AJ284" s="1229"/>
      <c r="AK284" s="1229"/>
      <c r="AL284" s="1229"/>
      <c r="BA284" s="37"/>
    </row>
    <row r="285" spans="1:53" ht="13.35" customHeight="1" thickBot="1">
      <c r="A285" s="1230"/>
      <c r="B285" s="1230"/>
      <c r="C285" s="1230"/>
      <c r="D285" s="1230"/>
      <c r="E285" s="1230"/>
      <c r="F285" s="1230"/>
      <c r="G285" s="1230"/>
      <c r="H285" s="1230"/>
      <c r="I285" s="1230"/>
      <c r="J285" s="1230"/>
      <c r="K285" s="1230"/>
      <c r="L285" s="1230"/>
      <c r="M285" s="1230"/>
      <c r="N285" s="1230"/>
      <c r="O285" s="1230"/>
      <c r="P285" s="1230"/>
      <c r="Q285" s="1230"/>
      <c r="R285" s="1230"/>
      <c r="S285" s="1230"/>
      <c r="T285" s="1230"/>
      <c r="U285" s="1230"/>
      <c r="V285" s="1230"/>
      <c r="W285" s="1230"/>
      <c r="X285" s="1230"/>
      <c r="Y285" s="1230"/>
      <c r="Z285" s="1230"/>
      <c r="AA285" s="1230"/>
      <c r="AB285" s="1230"/>
      <c r="AC285" s="1230"/>
      <c r="AD285" s="1230"/>
      <c r="AE285" s="1230"/>
      <c r="AF285" s="1230"/>
      <c r="AG285" s="1230"/>
      <c r="AH285" s="1230"/>
      <c r="AI285" s="1230"/>
      <c r="AJ285" s="1230"/>
      <c r="AK285" s="1230"/>
      <c r="AL285" s="1230"/>
      <c r="BA285" s="37"/>
    </row>
    <row r="286" spans="1:53" ht="13.35" customHeight="1"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35" customHeight="1">
      <c r="A287" s="3" t="s">
        <v>854</v>
      </c>
      <c r="C287" s="3" t="s">
        <v>1096</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3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35" customHeight="1">
      <c r="B289" s="37" t="s">
        <v>1097</v>
      </c>
      <c r="C289" s="37"/>
      <c r="D289" s="37"/>
      <c r="E289" s="37"/>
      <c r="F289" s="37"/>
      <c r="H289" s="1044" t="s">
        <v>1082</v>
      </c>
      <c r="I289" s="1044"/>
      <c r="J289" s="1044"/>
      <c r="K289" s="1044"/>
      <c r="L289" s="1044"/>
      <c r="M289" s="1044"/>
      <c r="N289" s="1044"/>
      <c r="O289" s="1044"/>
      <c r="P289" s="1044"/>
      <c r="Q289" s="1044"/>
      <c r="R289" s="1044"/>
      <c r="T289" s="37" t="s">
        <v>1098</v>
      </c>
      <c r="V289" s="37"/>
      <c r="W289" s="37"/>
      <c r="X289" s="37"/>
      <c r="Y289" s="37"/>
      <c r="AA289" s="1044" t="s">
        <v>1099</v>
      </c>
      <c r="AB289" s="1044"/>
      <c r="AC289" s="1044"/>
      <c r="AD289" s="1044"/>
      <c r="AE289" s="1044"/>
      <c r="AF289" s="1044"/>
      <c r="AG289" s="1044"/>
      <c r="AH289" s="1044"/>
      <c r="AI289" s="1044"/>
      <c r="AJ289" s="1044"/>
      <c r="AK289" s="1044"/>
      <c r="BA289" s="37"/>
    </row>
    <row r="290" spans="2:53" ht="13.35" customHeight="1">
      <c r="B290" s="37" t="s">
        <v>1100</v>
      </c>
      <c r="C290" s="37"/>
      <c r="D290" s="37"/>
      <c r="E290" s="37"/>
      <c r="F290" s="37"/>
      <c r="H290" s="1045" t="s">
        <v>1101</v>
      </c>
      <c r="I290" s="1045"/>
      <c r="J290" s="1045"/>
      <c r="K290" s="1045"/>
      <c r="L290" s="1045"/>
      <c r="M290" s="1045"/>
      <c r="N290" s="1045"/>
      <c r="O290" s="1045"/>
      <c r="P290" s="1045"/>
      <c r="Q290" s="1045"/>
      <c r="R290" s="1045"/>
      <c r="T290" s="37" t="s">
        <v>1100</v>
      </c>
      <c r="V290" s="37"/>
      <c r="W290" s="37"/>
      <c r="X290" s="37"/>
      <c r="Y290" s="37"/>
      <c r="AA290" s="1045" t="s">
        <v>1102</v>
      </c>
      <c r="AB290" s="1045"/>
      <c r="AC290" s="1045"/>
      <c r="AD290" s="1045"/>
      <c r="AE290" s="1045"/>
      <c r="AF290" s="1045"/>
      <c r="AG290" s="1045"/>
      <c r="AH290" s="1045"/>
      <c r="AI290" s="1045"/>
      <c r="AJ290" s="1045"/>
      <c r="AK290" s="1045"/>
      <c r="BA290" s="37"/>
    </row>
    <row r="291" spans="2:53" ht="13.35" customHeight="1">
      <c r="B291" s="37" t="s">
        <v>1103</v>
      </c>
      <c r="C291" s="37"/>
      <c r="D291" s="37"/>
      <c r="E291" s="37"/>
      <c r="F291" s="37"/>
      <c r="H291" s="1045" t="s">
        <v>1104</v>
      </c>
      <c r="I291" s="1045"/>
      <c r="J291" s="1045"/>
      <c r="K291" s="1045"/>
      <c r="L291" s="1045"/>
      <c r="M291" s="1045"/>
      <c r="N291" s="1045"/>
      <c r="O291" s="1045"/>
      <c r="P291" s="1045"/>
      <c r="Q291" s="1045"/>
      <c r="R291" s="1045"/>
      <c r="T291" s="37" t="s">
        <v>1105</v>
      </c>
      <c r="V291" s="37"/>
      <c r="W291" s="37"/>
      <c r="X291" s="37"/>
      <c r="Y291" s="37"/>
      <c r="AA291" s="1045" t="s">
        <v>1106</v>
      </c>
      <c r="AB291" s="1045"/>
      <c r="AC291" s="1045"/>
      <c r="AD291" s="1045"/>
      <c r="AE291" s="1045"/>
      <c r="AF291" s="1045"/>
      <c r="AG291" s="1045"/>
      <c r="AH291" s="1045"/>
      <c r="AI291" s="1045"/>
      <c r="AJ291" s="1045"/>
      <c r="AK291" s="1045"/>
      <c r="BA291" s="37"/>
    </row>
    <row r="292" spans="2:53" ht="13.35" customHeight="1">
      <c r="B292" s="37" t="s">
        <v>1051</v>
      </c>
      <c r="C292" s="37"/>
      <c r="D292" s="37"/>
      <c r="E292" s="37"/>
      <c r="F292" s="37"/>
      <c r="H292" s="1045" t="s">
        <v>1107</v>
      </c>
      <c r="I292" s="1045"/>
      <c r="J292" s="1045"/>
      <c r="K292" s="1045"/>
      <c r="L292" s="1045"/>
      <c r="M292" s="1045"/>
      <c r="N292" s="1045"/>
      <c r="O292" s="1045"/>
      <c r="P292" s="1045"/>
      <c r="Q292" s="1045"/>
      <c r="R292" s="1045"/>
      <c r="T292" s="37" t="s">
        <v>1051</v>
      </c>
      <c r="V292" s="37"/>
      <c r="W292" s="37"/>
      <c r="X292" s="37"/>
      <c r="Y292" s="37"/>
      <c r="AA292" s="1045" t="s">
        <v>1108</v>
      </c>
      <c r="AB292" s="1045"/>
      <c r="AC292" s="1045"/>
      <c r="AD292" s="1045"/>
      <c r="AE292" s="1045"/>
      <c r="AF292" s="1045"/>
      <c r="AG292" s="1045"/>
      <c r="AH292" s="1045"/>
      <c r="AI292" s="1045"/>
      <c r="AJ292" s="1045"/>
      <c r="AK292" s="1045"/>
      <c r="BA292" s="37"/>
    </row>
    <row r="293" spans="2:53" ht="13.35" customHeight="1">
      <c r="B293" s="37" t="s">
        <v>1052</v>
      </c>
      <c r="C293" s="37"/>
      <c r="D293" s="37"/>
      <c r="E293" s="37"/>
      <c r="F293" s="37"/>
      <c r="G293" s="37"/>
      <c r="H293" s="1067" t="s">
        <v>1053</v>
      </c>
      <c r="I293" s="1067"/>
      <c r="J293" s="1067"/>
      <c r="K293" s="1067"/>
      <c r="L293" s="1067"/>
      <c r="M293" s="1067"/>
      <c r="N293" s="37" t="s">
        <v>1054</v>
      </c>
      <c r="O293" s="37"/>
      <c r="P293" s="1070"/>
      <c r="Q293" s="1070"/>
      <c r="R293" s="1070"/>
      <c r="S293" s="37"/>
      <c r="T293" s="37" t="s">
        <v>1052</v>
      </c>
      <c r="V293" s="37"/>
      <c r="W293" s="37"/>
      <c r="X293" s="37"/>
      <c r="Y293" s="37"/>
      <c r="AA293" s="1067">
        <v>8189725080</v>
      </c>
      <c r="AB293" s="1067"/>
      <c r="AC293" s="1067"/>
      <c r="AD293" s="1067"/>
      <c r="AE293" s="1067"/>
      <c r="AF293" s="1067"/>
      <c r="AG293" s="37" t="s">
        <v>1054</v>
      </c>
      <c r="AH293" s="37"/>
      <c r="AI293" s="1070"/>
      <c r="AJ293" s="1070"/>
      <c r="AK293" s="1070"/>
      <c r="BA293" s="37"/>
    </row>
    <row r="294" spans="2:53" ht="13.35" customHeight="1">
      <c r="B294" s="37" t="s">
        <v>1055</v>
      </c>
      <c r="C294" s="37"/>
      <c r="D294" s="37"/>
      <c r="E294" s="37"/>
      <c r="F294" s="37"/>
      <c r="G294" s="37"/>
      <c r="H294" s="1068"/>
      <c r="I294" s="1068"/>
      <c r="J294" s="1068"/>
      <c r="K294" s="1068"/>
      <c r="L294" s="1068"/>
      <c r="M294" s="1068"/>
      <c r="N294" s="37"/>
      <c r="O294" s="37"/>
      <c r="P294" s="232"/>
      <c r="Q294" s="232"/>
      <c r="R294" s="232"/>
      <c r="S294" s="37"/>
      <c r="T294" s="37" t="s">
        <v>1055</v>
      </c>
      <c r="V294" s="37"/>
      <c r="W294" s="37"/>
      <c r="X294" s="37"/>
      <c r="Y294" s="37"/>
      <c r="AA294" s="1068"/>
      <c r="AB294" s="1068"/>
      <c r="AC294" s="1068"/>
      <c r="AD294" s="1068"/>
      <c r="AE294" s="1068"/>
      <c r="AF294" s="1068"/>
      <c r="AG294" s="37"/>
      <c r="AH294" s="37"/>
      <c r="AI294" s="232"/>
      <c r="AJ294" s="232"/>
      <c r="AK294" s="232"/>
      <c r="BA294" s="37"/>
    </row>
    <row r="295" spans="2:53" ht="13.35" customHeight="1">
      <c r="B295" s="37" t="s">
        <v>1109</v>
      </c>
      <c r="C295" s="37"/>
      <c r="D295" s="37"/>
      <c r="E295" s="37"/>
      <c r="F295" s="37"/>
      <c r="G295" s="37"/>
      <c r="H295" s="1045" t="s">
        <v>1110</v>
      </c>
      <c r="I295" s="1045"/>
      <c r="J295" s="1045"/>
      <c r="K295" s="1045"/>
      <c r="L295" s="1045"/>
      <c r="M295" s="1045"/>
      <c r="N295" s="1044"/>
      <c r="O295" s="1044"/>
      <c r="P295" s="1044"/>
      <c r="Q295" s="1044"/>
      <c r="R295" s="1044"/>
      <c r="S295" s="37"/>
      <c r="T295" s="37" t="s">
        <v>1109</v>
      </c>
      <c r="V295" s="37"/>
      <c r="W295" s="37"/>
      <c r="X295" s="37"/>
      <c r="Y295" s="37"/>
      <c r="AA295" s="1045" t="s">
        <v>1111</v>
      </c>
      <c r="AB295" s="1045"/>
      <c r="AC295" s="1045"/>
      <c r="AD295" s="1045"/>
      <c r="AE295" s="1045"/>
      <c r="AF295" s="1045"/>
      <c r="AG295" s="1044"/>
      <c r="AH295" s="1044"/>
      <c r="AI295" s="1044"/>
      <c r="AJ295" s="1044"/>
      <c r="AK295" s="1044"/>
      <c r="BA295" s="37"/>
    </row>
    <row r="296" spans="2:53" ht="13.3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35" customHeight="1">
      <c r="B297" s="37" t="s">
        <v>1112</v>
      </c>
      <c r="C297" s="37"/>
      <c r="D297" s="37"/>
      <c r="E297" s="37"/>
      <c r="F297" s="37"/>
      <c r="H297" s="1044" t="s">
        <v>1113</v>
      </c>
      <c r="I297" s="1044"/>
      <c r="J297" s="1044"/>
      <c r="K297" s="1044"/>
      <c r="L297" s="1044"/>
      <c r="M297" s="1044"/>
      <c r="N297" s="1044"/>
      <c r="O297" s="1044"/>
      <c r="P297" s="1044"/>
      <c r="Q297" s="1044"/>
      <c r="R297" s="1044"/>
      <c r="T297" s="37" t="s">
        <v>1114</v>
      </c>
      <c r="V297" s="37"/>
      <c r="W297" s="37"/>
      <c r="X297" s="37"/>
      <c r="Y297" s="37"/>
      <c r="AA297" s="1044" t="s">
        <v>1115</v>
      </c>
      <c r="AB297" s="1044"/>
      <c r="AC297" s="1044"/>
      <c r="AD297" s="1044"/>
      <c r="AE297" s="1044"/>
      <c r="AF297" s="1044"/>
      <c r="AG297" s="1044"/>
      <c r="AH297" s="1044"/>
      <c r="AI297" s="1044"/>
      <c r="AJ297" s="1044"/>
      <c r="AK297" s="1044"/>
      <c r="BA297" s="37"/>
    </row>
    <row r="298" spans="2:53" ht="13.35" customHeight="1">
      <c r="B298" s="37" t="s">
        <v>1100</v>
      </c>
      <c r="C298" s="37"/>
      <c r="D298" s="37"/>
      <c r="E298" s="37"/>
      <c r="F298" s="37"/>
      <c r="H298" s="1045" t="s">
        <v>1116</v>
      </c>
      <c r="I298" s="1045"/>
      <c r="J298" s="1045"/>
      <c r="K298" s="1045"/>
      <c r="L298" s="1045"/>
      <c r="M298" s="1045"/>
      <c r="N298" s="1045"/>
      <c r="O298" s="1045"/>
      <c r="P298" s="1045"/>
      <c r="Q298" s="1045"/>
      <c r="R298" s="1045"/>
      <c r="T298" s="37" t="s">
        <v>1100</v>
      </c>
      <c r="V298" s="37"/>
      <c r="W298" s="37"/>
      <c r="X298" s="37"/>
      <c r="Y298" s="37"/>
      <c r="AA298" s="1045" t="s">
        <v>1117</v>
      </c>
      <c r="AB298" s="1045"/>
      <c r="AC298" s="1045"/>
      <c r="AD298" s="1045"/>
      <c r="AE298" s="1045"/>
      <c r="AF298" s="1045"/>
      <c r="AG298" s="1045"/>
      <c r="AH298" s="1045"/>
      <c r="AI298" s="1045"/>
      <c r="AJ298" s="1045"/>
      <c r="AK298" s="1045"/>
      <c r="BA298" s="37"/>
    </row>
    <row r="299" spans="2:53" ht="13.35" customHeight="1">
      <c r="B299" s="37" t="s">
        <v>1103</v>
      </c>
      <c r="C299" s="37"/>
      <c r="D299" s="37"/>
      <c r="E299" s="37"/>
      <c r="F299" s="37"/>
      <c r="H299" s="1045" t="s">
        <v>1118</v>
      </c>
      <c r="I299" s="1045"/>
      <c r="J299" s="1045"/>
      <c r="K299" s="1045"/>
      <c r="L299" s="1045"/>
      <c r="M299" s="1045"/>
      <c r="N299" s="1045"/>
      <c r="O299" s="1045"/>
      <c r="P299" s="1045"/>
      <c r="Q299" s="1045"/>
      <c r="R299" s="1045"/>
      <c r="T299" s="37" t="s">
        <v>1105</v>
      </c>
      <c r="V299" s="37"/>
      <c r="W299" s="37"/>
      <c r="X299" s="37"/>
      <c r="Y299" s="37"/>
      <c r="AA299" s="1045" t="s">
        <v>1119</v>
      </c>
      <c r="AB299" s="1045"/>
      <c r="AC299" s="1045"/>
      <c r="AD299" s="1045"/>
      <c r="AE299" s="1045"/>
      <c r="AF299" s="1045"/>
      <c r="AG299" s="1045"/>
      <c r="AH299" s="1045"/>
      <c r="AI299" s="1045"/>
      <c r="AJ299" s="1045"/>
      <c r="AK299" s="1045"/>
      <c r="BA299" s="37"/>
    </row>
    <row r="300" spans="2:53" ht="13.35" customHeight="1">
      <c r="B300" s="37" t="s">
        <v>1051</v>
      </c>
      <c r="C300" s="37"/>
      <c r="D300" s="37"/>
      <c r="E300" s="37"/>
      <c r="F300" s="37"/>
      <c r="H300" s="1045" t="s">
        <v>1120</v>
      </c>
      <c r="I300" s="1045"/>
      <c r="J300" s="1045"/>
      <c r="K300" s="1045"/>
      <c r="L300" s="1045"/>
      <c r="M300" s="1045"/>
      <c r="N300" s="1045"/>
      <c r="O300" s="1045"/>
      <c r="P300" s="1045"/>
      <c r="Q300" s="1045"/>
      <c r="R300" s="1045"/>
      <c r="T300" s="37" t="s">
        <v>1051</v>
      </c>
      <c r="V300" s="37"/>
      <c r="W300" s="37"/>
      <c r="X300" s="37"/>
      <c r="Y300" s="37"/>
      <c r="AA300" s="1045" t="s">
        <v>1121</v>
      </c>
      <c r="AB300" s="1045"/>
      <c r="AC300" s="1045"/>
      <c r="AD300" s="1045"/>
      <c r="AE300" s="1045"/>
      <c r="AF300" s="1045"/>
      <c r="AG300" s="1045"/>
      <c r="AH300" s="1045"/>
      <c r="AI300" s="1045"/>
      <c r="AJ300" s="1045"/>
      <c r="AK300" s="1045"/>
      <c r="BA300" s="37"/>
    </row>
    <row r="301" spans="2:53" ht="13.35" customHeight="1">
      <c r="B301" s="37" t="s">
        <v>1052</v>
      </c>
      <c r="C301" s="37"/>
      <c r="D301" s="37"/>
      <c r="E301" s="37"/>
      <c r="F301" s="37"/>
      <c r="G301" s="37"/>
      <c r="H301" s="1067">
        <v>2132398048</v>
      </c>
      <c r="I301" s="1067"/>
      <c r="J301" s="1067"/>
      <c r="K301" s="1067"/>
      <c r="L301" s="1067"/>
      <c r="M301" s="1067"/>
      <c r="N301" s="37" t="s">
        <v>1054</v>
      </c>
      <c r="O301" s="37"/>
      <c r="P301" s="1070"/>
      <c r="Q301" s="1070"/>
      <c r="R301" s="1070"/>
      <c r="S301" s="37"/>
      <c r="T301" s="37" t="s">
        <v>1052</v>
      </c>
      <c r="V301" s="37"/>
      <c r="W301" s="37"/>
      <c r="X301" s="37"/>
      <c r="Y301" s="37"/>
      <c r="AA301" s="1067">
        <v>9495872237</v>
      </c>
      <c r="AB301" s="1067"/>
      <c r="AC301" s="1067"/>
      <c r="AD301" s="1067"/>
      <c r="AE301" s="1067"/>
      <c r="AF301" s="1067"/>
      <c r="AG301" s="37" t="s">
        <v>1054</v>
      </c>
      <c r="AH301" s="37"/>
      <c r="AI301" s="1070"/>
      <c r="AJ301" s="1070"/>
      <c r="AK301" s="1070"/>
      <c r="BA301" s="37"/>
    </row>
    <row r="302" spans="2:53" ht="13.35" customHeight="1">
      <c r="B302" s="37" t="s">
        <v>1055</v>
      </c>
      <c r="C302" s="37"/>
      <c r="D302" s="37"/>
      <c r="E302" s="37"/>
      <c r="F302" s="37"/>
      <c r="G302" s="37"/>
      <c r="H302" s="1068"/>
      <c r="I302" s="1068"/>
      <c r="J302" s="1068"/>
      <c r="K302" s="1068"/>
      <c r="L302" s="1068"/>
      <c r="M302" s="1068"/>
      <c r="N302" s="37"/>
      <c r="O302" s="37"/>
      <c r="P302" s="232"/>
      <c r="Q302" s="232"/>
      <c r="R302" s="232"/>
      <c r="S302" s="37"/>
      <c r="T302" s="37" t="s">
        <v>1055</v>
      </c>
      <c r="V302" s="37"/>
      <c r="W302" s="37"/>
      <c r="X302" s="37"/>
      <c r="Y302" s="37"/>
      <c r="AA302" s="1068">
        <v>9495879087</v>
      </c>
      <c r="AB302" s="1068"/>
      <c r="AC302" s="1068"/>
      <c r="AD302" s="1068"/>
      <c r="AE302" s="1068"/>
      <c r="AF302" s="1068"/>
      <c r="AG302" s="37"/>
      <c r="AH302" s="37"/>
      <c r="AI302" s="232"/>
      <c r="AJ302" s="232"/>
      <c r="AK302" s="232"/>
      <c r="BA302" s="37"/>
    </row>
    <row r="303" spans="2:53" ht="13.35" customHeight="1">
      <c r="B303" s="37" t="s">
        <v>1109</v>
      </c>
      <c r="C303" s="37"/>
      <c r="D303" s="37"/>
      <c r="E303" s="37"/>
      <c r="F303" s="37"/>
      <c r="G303" s="37"/>
      <c r="H303" s="1045" t="s">
        <v>1122</v>
      </c>
      <c r="I303" s="1045"/>
      <c r="J303" s="1045"/>
      <c r="K303" s="1045"/>
      <c r="L303" s="1045"/>
      <c r="M303" s="1045"/>
      <c r="N303" s="1044"/>
      <c r="O303" s="1044"/>
      <c r="P303" s="1044"/>
      <c r="Q303" s="1044"/>
      <c r="R303" s="1044"/>
      <c r="S303" s="37"/>
      <c r="T303" s="37" t="s">
        <v>1109</v>
      </c>
      <c r="V303" s="37"/>
      <c r="W303" s="37"/>
      <c r="X303" s="37"/>
      <c r="Y303" s="37"/>
      <c r="AA303" s="1045" t="s">
        <v>1123</v>
      </c>
      <c r="AB303" s="1045"/>
      <c r="AC303" s="1045"/>
      <c r="AD303" s="1045"/>
      <c r="AE303" s="1045"/>
      <c r="AF303" s="1045"/>
      <c r="AG303" s="1044"/>
      <c r="AH303" s="1044"/>
      <c r="AI303" s="1044"/>
      <c r="AJ303" s="1044"/>
      <c r="AK303" s="1044"/>
      <c r="BA303" s="37"/>
    </row>
    <row r="304" spans="2:53" ht="13.35" customHeight="1">
      <c r="BA304" s="37"/>
    </row>
    <row r="305" spans="2:53" ht="13.35" customHeight="1">
      <c r="B305" s="37" t="s">
        <v>1124</v>
      </c>
      <c r="C305" s="37"/>
      <c r="D305" s="37"/>
      <c r="E305" s="37"/>
      <c r="F305" s="37"/>
      <c r="H305" s="1044" t="s">
        <v>1125</v>
      </c>
      <c r="I305" s="1044"/>
      <c r="J305" s="1044"/>
      <c r="K305" s="1044"/>
      <c r="L305" s="1044"/>
      <c r="M305" s="1044"/>
      <c r="N305" s="1044"/>
      <c r="O305" s="1044"/>
      <c r="P305" s="1044"/>
      <c r="Q305" s="1044"/>
      <c r="R305" s="1044"/>
      <c r="T305" s="37" t="s">
        <v>1126</v>
      </c>
      <c r="V305" s="37"/>
      <c r="W305" s="37"/>
      <c r="X305" s="37"/>
      <c r="Y305" s="37"/>
      <c r="AA305" s="1044" t="s">
        <v>1127</v>
      </c>
      <c r="AB305" s="1044"/>
      <c r="AC305" s="1044"/>
      <c r="AD305" s="1044"/>
      <c r="AE305" s="1044"/>
      <c r="AF305" s="1044"/>
      <c r="AG305" s="1044"/>
      <c r="AH305" s="1044"/>
      <c r="AI305" s="1044"/>
      <c r="AJ305" s="1044"/>
      <c r="AK305" s="1044"/>
      <c r="BA305" s="37"/>
    </row>
    <row r="306" spans="2:53" ht="13.35" customHeight="1">
      <c r="B306" s="37" t="s">
        <v>1100</v>
      </c>
      <c r="C306" s="37"/>
      <c r="D306" s="37"/>
      <c r="E306" s="37"/>
      <c r="F306" s="37"/>
      <c r="H306" s="1045" t="s">
        <v>1128</v>
      </c>
      <c r="I306" s="1045"/>
      <c r="J306" s="1045"/>
      <c r="K306" s="1045"/>
      <c r="L306" s="1045"/>
      <c r="M306" s="1045"/>
      <c r="N306" s="1045"/>
      <c r="O306" s="1045"/>
      <c r="P306" s="1045"/>
      <c r="Q306" s="1045"/>
      <c r="R306" s="1045"/>
      <c r="T306" s="37" t="s">
        <v>1100</v>
      </c>
      <c r="V306" s="37"/>
      <c r="W306" s="37"/>
      <c r="X306" s="37"/>
      <c r="Y306" s="37"/>
      <c r="AA306" s="1045" t="s">
        <v>1129</v>
      </c>
      <c r="AB306" s="1045"/>
      <c r="AC306" s="1045"/>
      <c r="AD306" s="1045"/>
      <c r="AE306" s="1045"/>
      <c r="AF306" s="1045"/>
      <c r="AG306" s="1045"/>
      <c r="AH306" s="1045"/>
      <c r="AI306" s="1045"/>
      <c r="AJ306" s="1045"/>
      <c r="AK306" s="1045"/>
      <c r="BA306" s="37"/>
    </row>
    <row r="307" spans="2:53" ht="13.35" customHeight="1">
      <c r="B307" s="37" t="s">
        <v>1103</v>
      </c>
      <c r="C307" s="37"/>
      <c r="D307" s="37"/>
      <c r="E307" s="37"/>
      <c r="F307" s="37"/>
      <c r="H307" s="1045" t="s">
        <v>1130</v>
      </c>
      <c r="I307" s="1045"/>
      <c r="J307" s="1045"/>
      <c r="K307" s="1045"/>
      <c r="L307" s="1045"/>
      <c r="M307" s="1045"/>
      <c r="N307" s="1045"/>
      <c r="O307" s="1045"/>
      <c r="P307" s="1045"/>
      <c r="Q307" s="1045"/>
      <c r="R307" s="1045"/>
      <c r="T307" s="37" t="s">
        <v>1105</v>
      </c>
      <c r="V307" s="37"/>
      <c r="W307" s="37"/>
      <c r="X307" s="37"/>
      <c r="Y307" s="37"/>
      <c r="AA307" s="1045" t="s">
        <v>1131</v>
      </c>
      <c r="AB307" s="1045"/>
      <c r="AC307" s="1045"/>
      <c r="AD307" s="1045"/>
      <c r="AE307" s="1045"/>
      <c r="AF307" s="1045"/>
      <c r="AG307" s="1045"/>
      <c r="AH307" s="1045"/>
      <c r="AI307" s="1045"/>
      <c r="AJ307" s="1045"/>
      <c r="AK307" s="1045"/>
      <c r="BA307" s="37"/>
    </row>
    <row r="308" spans="2:53" ht="13.35" customHeight="1">
      <c r="B308" s="37" t="s">
        <v>1051</v>
      </c>
      <c r="C308" s="37"/>
      <c r="D308" s="37"/>
      <c r="E308" s="37"/>
      <c r="F308" s="37"/>
      <c r="H308" s="1045" t="s">
        <v>1132</v>
      </c>
      <c r="I308" s="1045"/>
      <c r="J308" s="1045"/>
      <c r="K308" s="1045"/>
      <c r="L308" s="1045"/>
      <c r="M308" s="1045"/>
      <c r="N308" s="1045"/>
      <c r="O308" s="1045"/>
      <c r="P308" s="1045"/>
      <c r="Q308" s="1045"/>
      <c r="R308" s="1045"/>
      <c r="T308" s="37" t="s">
        <v>1051</v>
      </c>
      <c r="V308" s="37"/>
      <c r="W308" s="37"/>
      <c r="X308" s="37"/>
      <c r="Y308" s="37"/>
      <c r="AA308" s="1045" t="s">
        <v>1133</v>
      </c>
      <c r="AB308" s="1045"/>
      <c r="AC308" s="1045"/>
      <c r="AD308" s="1045"/>
      <c r="AE308" s="1045"/>
      <c r="AF308" s="1045"/>
      <c r="AG308" s="1045"/>
      <c r="AH308" s="1045"/>
      <c r="AI308" s="1045"/>
      <c r="AJ308" s="1045"/>
      <c r="AK308" s="1045"/>
      <c r="BA308" s="37"/>
    </row>
    <row r="309" spans="2:53" ht="13.35" customHeight="1">
      <c r="B309" s="37" t="s">
        <v>1052</v>
      </c>
      <c r="C309" s="37"/>
      <c r="D309" s="37"/>
      <c r="E309" s="37"/>
      <c r="F309" s="37"/>
      <c r="G309" s="37"/>
      <c r="H309" s="1067">
        <v>5622563555</v>
      </c>
      <c r="I309" s="1067"/>
      <c r="J309" s="1067"/>
      <c r="K309" s="1067"/>
      <c r="L309" s="1067"/>
      <c r="M309" s="1067"/>
      <c r="N309" s="37" t="s">
        <v>1054</v>
      </c>
      <c r="O309" s="37"/>
      <c r="P309" s="1070"/>
      <c r="Q309" s="1070"/>
      <c r="R309" s="1070"/>
      <c r="S309" s="37"/>
      <c r="T309" s="37" t="s">
        <v>1052</v>
      </c>
      <c r="V309" s="37"/>
      <c r="W309" s="37"/>
      <c r="X309" s="37"/>
      <c r="Y309" s="37"/>
      <c r="AA309" s="1067">
        <v>3102206274</v>
      </c>
      <c r="AB309" s="1067"/>
      <c r="AC309" s="1067"/>
      <c r="AD309" s="1067"/>
      <c r="AE309" s="1067"/>
      <c r="AF309" s="1067"/>
      <c r="AG309" s="37" t="s">
        <v>1054</v>
      </c>
      <c r="AH309" s="37"/>
      <c r="AI309" s="1070"/>
      <c r="AJ309" s="1070"/>
      <c r="AK309" s="1070"/>
      <c r="BA309" s="37"/>
    </row>
    <row r="310" spans="2:53" ht="13.35" customHeight="1">
      <c r="B310" s="37" t="s">
        <v>1055</v>
      </c>
      <c r="C310" s="37"/>
      <c r="D310" s="37"/>
      <c r="E310" s="37"/>
      <c r="F310" s="37"/>
      <c r="G310" s="37"/>
      <c r="H310" s="1068"/>
      <c r="I310" s="1068"/>
      <c r="J310" s="1068"/>
      <c r="K310" s="1068"/>
      <c r="L310" s="1068"/>
      <c r="M310" s="1068"/>
      <c r="N310" s="37"/>
      <c r="O310" s="37"/>
      <c r="P310" s="232"/>
      <c r="Q310" s="232"/>
      <c r="R310" s="232"/>
      <c r="S310" s="37"/>
      <c r="T310" s="37" t="s">
        <v>1055</v>
      </c>
      <c r="V310" s="37"/>
      <c r="W310" s="37"/>
      <c r="X310" s="37"/>
      <c r="Y310" s="37"/>
      <c r="AA310" s="1068"/>
      <c r="AB310" s="1068"/>
      <c r="AC310" s="1068"/>
      <c r="AD310" s="1068"/>
      <c r="AE310" s="1068"/>
      <c r="AF310" s="1068"/>
      <c r="AG310" s="37"/>
      <c r="AH310" s="37"/>
      <c r="AI310" s="232"/>
      <c r="AJ310" s="232"/>
      <c r="AK310" s="232"/>
      <c r="BA310" s="37"/>
    </row>
    <row r="311" spans="2:53" ht="13.35" customHeight="1">
      <c r="B311" s="37" t="s">
        <v>1109</v>
      </c>
      <c r="C311" s="37"/>
      <c r="D311" s="37"/>
      <c r="E311" s="37"/>
      <c r="F311" s="37"/>
      <c r="G311" s="37"/>
      <c r="H311" s="1045" t="s">
        <v>1134</v>
      </c>
      <c r="I311" s="1045"/>
      <c r="J311" s="1045"/>
      <c r="K311" s="1045"/>
      <c r="L311" s="1045"/>
      <c r="M311" s="1045"/>
      <c r="N311" s="1044"/>
      <c r="O311" s="1044"/>
      <c r="P311" s="1044"/>
      <c r="Q311" s="1044"/>
      <c r="R311" s="1044"/>
      <c r="S311" s="37"/>
      <c r="T311" s="37" t="s">
        <v>1109</v>
      </c>
      <c r="V311" s="37"/>
      <c r="W311" s="37"/>
      <c r="X311" s="37"/>
      <c r="Y311" s="37"/>
      <c r="AA311" s="1045" t="s">
        <v>1135</v>
      </c>
      <c r="AB311" s="1045"/>
      <c r="AC311" s="1045"/>
      <c r="AD311" s="1045"/>
      <c r="AE311" s="1045"/>
      <c r="AF311" s="1045"/>
      <c r="AG311" s="1044"/>
      <c r="AH311" s="1044"/>
      <c r="AI311" s="1044"/>
      <c r="AJ311" s="1044"/>
      <c r="AK311" s="1044"/>
      <c r="BA311" s="37"/>
    </row>
    <row r="312" spans="2:53" ht="13.35" customHeight="1">
      <c r="BA312" s="37"/>
    </row>
    <row r="313" spans="2:53" ht="13.35" customHeight="1">
      <c r="B313" s="37" t="s">
        <v>1136</v>
      </c>
      <c r="C313" s="37"/>
      <c r="D313" s="37"/>
      <c r="E313" s="37"/>
      <c r="F313" s="37"/>
      <c r="H313" s="1044" t="s">
        <v>1125</v>
      </c>
      <c r="I313" s="1044"/>
      <c r="J313" s="1044"/>
      <c r="K313" s="1044"/>
      <c r="L313" s="1044"/>
      <c r="M313" s="1044"/>
      <c r="N313" s="1044"/>
      <c r="O313" s="1044"/>
      <c r="P313" s="1044"/>
      <c r="Q313" s="1044"/>
      <c r="R313" s="1044"/>
      <c r="T313" s="37" t="s">
        <v>1137</v>
      </c>
      <c r="V313" s="37"/>
      <c r="W313" s="37"/>
      <c r="X313" s="37"/>
      <c r="Y313" s="37"/>
      <c r="AA313" s="1044" t="s">
        <v>1138</v>
      </c>
      <c r="AB313" s="1044"/>
      <c r="AC313" s="1044"/>
      <c r="AD313" s="1044"/>
      <c r="AE313" s="1044"/>
      <c r="AF313" s="1044"/>
      <c r="AG313" s="1044"/>
      <c r="AH313" s="1044"/>
      <c r="AI313" s="1044"/>
      <c r="AJ313" s="1044"/>
      <c r="AK313" s="1044"/>
      <c r="BA313" s="37"/>
    </row>
    <row r="314" spans="2:53" ht="13.35" customHeight="1">
      <c r="B314" s="37" t="s">
        <v>1100</v>
      </c>
      <c r="C314" s="37"/>
      <c r="D314" s="37"/>
      <c r="E314" s="37"/>
      <c r="F314" s="37"/>
      <c r="H314" s="1045" t="s">
        <v>1128</v>
      </c>
      <c r="I314" s="1045"/>
      <c r="J314" s="1045"/>
      <c r="K314" s="1045"/>
      <c r="L314" s="1045"/>
      <c r="M314" s="1045"/>
      <c r="N314" s="1045"/>
      <c r="O314" s="1045"/>
      <c r="P314" s="1045"/>
      <c r="Q314" s="1045"/>
      <c r="R314" s="1045"/>
      <c r="T314" s="37" t="s">
        <v>1100</v>
      </c>
      <c r="V314" s="37"/>
      <c r="W314" s="37"/>
      <c r="X314" s="37"/>
      <c r="Y314" s="37"/>
      <c r="AA314" s="1045" t="s">
        <v>1139</v>
      </c>
      <c r="AB314" s="1045"/>
      <c r="AC314" s="1045"/>
      <c r="AD314" s="1045"/>
      <c r="AE314" s="1045"/>
      <c r="AF314" s="1045"/>
      <c r="AG314" s="1045"/>
      <c r="AH314" s="1045"/>
      <c r="AI314" s="1045"/>
      <c r="AJ314" s="1045"/>
      <c r="AK314" s="1045"/>
      <c r="BA314" s="37"/>
    </row>
    <row r="315" spans="2:53" ht="13.35" customHeight="1">
      <c r="B315" s="37" t="s">
        <v>1103</v>
      </c>
      <c r="C315" s="37"/>
      <c r="D315" s="37"/>
      <c r="E315" s="37"/>
      <c r="F315" s="37"/>
      <c r="H315" s="1045" t="s">
        <v>1130</v>
      </c>
      <c r="I315" s="1045"/>
      <c r="J315" s="1045"/>
      <c r="K315" s="1045"/>
      <c r="L315" s="1045"/>
      <c r="M315" s="1045"/>
      <c r="N315" s="1045"/>
      <c r="O315" s="1045"/>
      <c r="P315" s="1045"/>
      <c r="Q315" s="1045"/>
      <c r="R315" s="1045"/>
      <c r="T315" s="37" t="s">
        <v>1105</v>
      </c>
      <c r="V315" s="37"/>
      <c r="W315" s="37"/>
      <c r="X315" s="37"/>
      <c r="Y315" s="37"/>
      <c r="AA315" s="1045" t="s">
        <v>1140</v>
      </c>
      <c r="AB315" s="1045"/>
      <c r="AC315" s="1045"/>
      <c r="AD315" s="1045"/>
      <c r="AE315" s="1045"/>
      <c r="AF315" s="1045"/>
      <c r="AG315" s="1045"/>
      <c r="AH315" s="1045"/>
      <c r="AI315" s="1045"/>
      <c r="AJ315" s="1045"/>
      <c r="AK315" s="1045"/>
      <c r="BA315" s="37"/>
    </row>
    <row r="316" spans="2:53" ht="13.35" customHeight="1">
      <c r="B316" s="37" t="s">
        <v>1051</v>
      </c>
      <c r="C316" s="37"/>
      <c r="D316" s="37"/>
      <c r="E316" s="37"/>
      <c r="F316" s="37"/>
      <c r="H316" s="1045" t="s">
        <v>1132</v>
      </c>
      <c r="I316" s="1045"/>
      <c r="J316" s="1045"/>
      <c r="K316" s="1045"/>
      <c r="L316" s="1045"/>
      <c r="M316" s="1045"/>
      <c r="N316" s="1045"/>
      <c r="O316" s="1045"/>
      <c r="P316" s="1045"/>
      <c r="Q316" s="1045"/>
      <c r="R316" s="1045"/>
      <c r="T316" s="37" t="s">
        <v>1051</v>
      </c>
      <c r="V316" s="37"/>
      <c r="W316" s="37"/>
      <c r="X316" s="37"/>
      <c r="Y316" s="37"/>
      <c r="AA316" s="1045" t="s">
        <v>1141</v>
      </c>
      <c r="AB316" s="1045"/>
      <c r="AC316" s="1045"/>
      <c r="AD316" s="1045"/>
      <c r="AE316" s="1045"/>
      <c r="AF316" s="1045"/>
      <c r="AG316" s="1045"/>
      <c r="AH316" s="1045"/>
      <c r="AI316" s="1045"/>
      <c r="AJ316" s="1045"/>
      <c r="AK316" s="1045"/>
      <c r="BA316" s="37"/>
    </row>
    <row r="317" spans="2:53" ht="13.35" customHeight="1">
      <c r="B317" s="37" t="s">
        <v>1052</v>
      </c>
      <c r="C317" s="37"/>
      <c r="D317" s="37"/>
      <c r="E317" s="37"/>
      <c r="F317" s="37"/>
      <c r="G317" s="37"/>
      <c r="H317" s="1067">
        <v>5622563555</v>
      </c>
      <c r="I317" s="1067"/>
      <c r="J317" s="1067"/>
      <c r="K317" s="1067"/>
      <c r="L317" s="1067"/>
      <c r="M317" s="1067"/>
      <c r="N317" s="37" t="s">
        <v>1054</v>
      </c>
      <c r="O317" s="37"/>
      <c r="P317" s="1070"/>
      <c r="Q317" s="1070"/>
      <c r="R317" s="1070"/>
      <c r="S317" s="37"/>
      <c r="T317" s="37" t="s">
        <v>1052</v>
      </c>
      <c r="V317" s="37"/>
      <c r="W317" s="37"/>
      <c r="X317" s="37"/>
      <c r="Y317" s="37"/>
      <c r="AA317" s="1067">
        <v>2138337988</v>
      </c>
      <c r="AB317" s="1067"/>
      <c r="AC317" s="1067"/>
      <c r="AD317" s="1067"/>
      <c r="AE317" s="1067"/>
      <c r="AF317" s="1067"/>
      <c r="AG317" s="37" t="s">
        <v>1054</v>
      </c>
      <c r="AH317" s="37"/>
      <c r="AI317" s="1070"/>
      <c r="AJ317" s="1070"/>
      <c r="AK317" s="1070"/>
      <c r="BA317" s="37"/>
    </row>
    <row r="318" spans="2:53" ht="13.35" customHeight="1">
      <c r="B318" s="37" t="s">
        <v>1055</v>
      </c>
      <c r="C318" s="37"/>
      <c r="D318" s="37"/>
      <c r="E318" s="37"/>
      <c r="F318" s="37"/>
      <c r="G318" s="37"/>
      <c r="H318" s="1068"/>
      <c r="I318" s="1068"/>
      <c r="J318" s="1068"/>
      <c r="K318" s="1068"/>
      <c r="L318" s="1068"/>
      <c r="M318" s="1068"/>
      <c r="N318" s="37"/>
      <c r="O318" s="37"/>
      <c r="P318" s="232"/>
      <c r="Q318" s="232"/>
      <c r="R318" s="232"/>
      <c r="S318" s="37"/>
      <c r="T318" s="37" t="s">
        <v>1055</v>
      </c>
      <c r="V318" s="37"/>
      <c r="W318" s="37"/>
      <c r="X318" s="37"/>
      <c r="Y318" s="37"/>
      <c r="AA318" s="1068"/>
      <c r="AB318" s="1068"/>
      <c r="AC318" s="1068"/>
      <c r="AD318" s="1068"/>
      <c r="AE318" s="1068"/>
      <c r="AF318" s="1068"/>
      <c r="AG318" s="37"/>
      <c r="AH318" s="37"/>
      <c r="AI318" s="232"/>
      <c r="AJ318" s="232"/>
      <c r="AK318" s="232"/>
      <c r="BA318" s="37"/>
    </row>
    <row r="319" spans="2:53" ht="13.35" customHeight="1">
      <c r="B319" s="37" t="s">
        <v>1109</v>
      </c>
      <c r="C319" s="37"/>
      <c r="D319" s="37"/>
      <c r="E319" s="37"/>
      <c r="F319" s="37"/>
      <c r="G319" s="37"/>
      <c r="H319" s="1045" t="s">
        <v>1134</v>
      </c>
      <c r="I319" s="1045"/>
      <c r="J319" s="1045"/>
      <c r="K319" s="1045"/>
      <c r="L319" s="1045"/>
      <c r="M319" s="1045"/>
      <c r="N319" s="1044"/>
      <c r="O319" s="1044"/>
      <c r="P319" s="1044"/>
      <c r="Q319" s="1044"/>
      <c r="R319" s="1044"/>
      <c r="S319" s="37"/>
      <c r="T319" s="37" t="s">
        <v>1109</v>
      </c>
      <c r="V319" s="37"/>
      <c r="W319" s="37"/>
      <c r="X319" s="37"/>
      <c r="Y319" s="37"/>
      <c r="AA319" s="1045" t="s">
        <v>1142</v>
      </c>
      <c r="AB319" s="1045"/>
      <c r="AC319" s="1045"/>
      <c r="AD319" s="1045"/>
      <c r="AE319" s="1045"/>
      <c r="AF319" s="1045"/>
      <c r="AG319" s="1044"/>
      <c r="AH319" s="1044"/>
      <c r="AI319" s="1044"/>
      <c r="AJ319" s="1044"/>
      <c r="AK319" s="1044"/>
      <c r="BA319" s="37"/>
    </row>
    <row r="320" spans="2:53" ht="13.35" customHeight="1">
      <c r="B320" s="37"/>
      <c r="C320" s="37"/>
      <c r="D320" s="37"/>
      <c r="E320" s="37"/>
      <c r="F320" s="37"/>
      <c r="G320" s="37"/>
      <c r="P320" s="877"/>
      <c r="Q320" s="877"/>
      <c r="R320" s="877"/>
      <c r="S320" s="877"/>
      <c r="T320" s="877"/>
      <c r="U320" s="877"/>
      <c r="V320" s="37"/>
      <c r="W320" s="37"/>
      <c r="X320" s="232"/>
      <c r="Y320" s="232"/>
      <c r="Z320" s="232"/>
      <c r="BA320" s="37"/>
    </row>
    <row r="321" spans="2:53" ht="13.35" customHeight="1">
      <c r="B321" s="37" t="s">
        <v>1143</v>
      </c>
      <c r="C321" s="37"/>
      <c r="D321" s="37"/>
      <c r="E321" s="37"/>
      <c r="F321" s="37"/>
      <c r="H321" s="1044"/>
      <c r="I321" s="1044"/>
      <c r="J321" s="1044"/>
      <c r="K321" s="1044"/>
      <c r="L321" s="1044"/>
      <c r="M321" s="1044"/>
      <c r="N321" s="1044"/>
      <c r="O321" s="1044"/>
      <c r="P321" s="1044"/>
      <c r="Q321" s="1044"/>
      <c r="R321" s="1044"/>
      <c r="T321" s="37" t="s">
        <v>1144</v>
      </c>
      <c r="V321" s="37"/>
      <c r="W321" s="37"/>
      <c r="X321" s="37"/>
      <c r="Y321" s="37"/>
      <c r="AA321" s="1044" t="s">
        <v>1125</v>
      </c>
      <c r="AB321" s="1044"/>
      <c r="AC321" s="1044"/>
      <c r="AD321" s="1044"/>
      <c r="AE321" s="1044"/>
      <c r="AF321" s="1044"/>
      <c r="AG321" s="1044"/>
      <c r="AH321" s="1044"/>
      <c r="AI321" s="1044"/>
      <c r="AJ321" s="1044"/>
      <c r="AK321" s="1044"/>
      <c r="BA321" s="37"/>
    </row>
    <row r="322" spans="2:53" ht="13.35" customHeight="1">
      <c r="B322" s="37" t="s">
        <v>1100</v>
      </c>
      <c r="C322" s="37"/>
      <c r="D322" s="37"/>
      <c r="E322" s="37"/>
      <c r="F322" s="37"/>
      <c r="H322" s="1045"/>
      <c r="I322" s="1045"/>
      <c r="J322" s="1045"/>
      <c r="K322" s="1045"/>
      <c r="L322" s="1045"/>
      <c r="M322" s="1045"/>
      <c r="N322" s="1045"/>
      <c r="O322" s="1045"/>
      <c r="P322" s="1045"/>
      <c r="Q322" s="1045"/>
      <c r="R322" s="1045"/>
      <c r="T322" s="37" t="s">
        <v>1100</v>
      </c>
      <c r="V322" s="37"/>
      <c r="W322" s="37"/>
      <c r="X322" s="37"/>
      <c r="Y322" s="37"/>
      <c r="AA322" s="1045" t="s">
        <v>1128</v>
      </c>
      <c r="AB322" s="1045"/>
      <c r="AC322" s="1045"/>
      <c r="AD322" s="1045"/>
      <c r="AE322" s="1045"/>
      <c r="AF322" s="1045"/>
      <c r="AG322" s="1045"/>
      <c r="AH322" s="1045"/>
      <c r="AI322" s="1045"/>
      <c r="AJ322" s="1045"/>
      <c r="AK322" s="1045"/>
      <c r="BA322" s="37"/>
    </row>
    <row r="323" spans="2:53" ht="13.35" customHeight="1">
      <c r="B323" s="37" t="s">
        <v>1103</v>
      </c>
      <c r="C323" s="37"/>
      <c r="D323" s="37"/>
      <c r="E323" s="37"/>
      <c r="F323" s="37"/>
      <c r="H323" s="1045"/>
      <c r="I323" s="1045"/>
      <c r="J323" s="1045"/>
      <c r="K323" s="1045"/>
      <c r="L323" s="1045"/>
      <c r="M323" s="1045"/>
      <c r="N323" s="1045"/>
      <c r="O323" s="1045"/>
      <c r="P323" s="1045"/>
      <c r="Q323" s="1045"/>
      <c r="R323" s="1045"/>
      <c r="T323" s="37" t="s">
        <v>1105</v>
      </c>
      <c r="V323" s="37"/>
      <c r="W323" s="37"/>
      <c r="X323" s="37"/>
      <c r="Y323" s="37"/>
      <c r="AA323" s="1045" t="s">
        <v>1130</v>
      </c>
      <c r="AB323" s="1045"/>
      <c r="AC323" s="1045"/>
      <c r="AD323" s="1045"/>
      <c r="AE323" s="1045"/>
      <c r="AF323" s="1045"/>
      <c r="AG323" s="1045"/>
      <c r="AH323" s="1045"/>
      <c r="AI323" s="1045"/>
      <c r="AJ323" s="1045"/>
      <c r="AK323" s="1045"/>
      <c r="BA323" s="37"/>
    </row>
    <row r="324" spans="2:53" ht="13.35" customHeight="1">
      <c r="B324" s="37" t="s">
        <v>1051</v>
      </c>
      <c r="C324" s="37"/>
      <c r="D324" s="37"/>
      <c r="E324" s="37"/>
      <c r="F324" s="37"/>
      <c r="H324" s="1045"/>
      <c r="I324" s="1045"/>
      <c r="J324" s="1045"/>
      <c r="K324" s="1045"/>
      <c r="L324" s="1045"/>
      <c r="M324" s="1045"/>
      <c r="N324" s="1045"/>
      <c r="O324" s="1045"/>
      <c r="P324" s="1045"/>
      <c r="Q324" s="1045"/>
      <c r="R324" s="1045"/>
      <c r="T324" s="37" t="s">
        <v>1051</v>
      </c>
      <c r="V324" s="37"/>
      <c r="W324" s="37"/>
      <c r="X324" s="37"/>
      <c r="Y324" s="37"/>
      <c r="AA324" s="1045" t="s">
        <v>1145</v>
      </c>
      <c r="AB324" s="1045"/>
      <c r="AC324" s="1045"/>
      <c r="AD324" s="1045"/>
      <c r="AE324" s="1045"/>
      <c r="AF324" s="1045"/>
      <c r="AG324" s="1045"/>
      <c r="AH324" s="1045"/>
      <c r="AI324" s="1045"/>
      <c r="AJ324" s="1045"/>
      <c r="AK324" s="1045"/>
      <c r="BA324" s="37"/>
    </row>
    <row r="325" spans="2:53" ht="13.35" customHeight="1">
      <c r="B325" s="37" t="s">
        <v>1052</v>
      </c>
      <c r="C325" s="37"/>
      <c r="D325" s="37"/>
      <c r="E325" s="37"/>
      <c r="F325" s="37"/>
      <c r="G325" s="37"/>
      <c r="H325" s="1067"/>
      <c r="I325" s="1067"/>
      <c r="J325" s="1067"/>
      <c r="K325" s="1067"/>
      <c r="L325" s="1067"/>
      <c r="M325" s="1067"/>
      <c r="N325" s="37" t="s">
        <v>1054</v>
      </c>
      <c r="O325" s="37"/>
      <c r="P325" s="1070"/>
      <c r="Q325" s="1070"/>
      <c r="R325" s="1070"/>
      <c r="S325" s="37"/>
      <c r="T325" s="37" t="s">
        <v>1052</v>
      </c>
      <c r="V325" s="37"/>
      <c r="W325" s="37"/>
      <c r="X325" s="37"/>
      <c r="Y325" s="37"/>
      <c r="AA325" s="1067">
        <v>7406186302</v>
      </c>
      <c r="AB325" s="1067"/>
      <c r="AC325" s="1067"/>
      <c r="AD325" s="1067"/>
      <c r="AE325" s="1067"/>
      <c r="AF325" s="1067"/>
      <c r="AG325" s="37" t="s">
        <v>1054</v>
      </c>
      <c r="AH325" s="37"/>
      <c r="AI325" s="1070"/>
      <c r="AJ325" s="1070"/>
      <c r="AK325" s="1070"/>
      <c r="BA325" s="37"/>
    </row>
    <row r="326" spans="2:53" ht="13.35" customHeight="1">
      <c r="B326" s="37" t="s">
        <v>1055</v>
      </c>
      <c r="C326" s="37"/>
      <c r="D326" s="37"/>
      <c r="E326" s="37"/>
      <c r="F326" s="37"/>
      <c r="G326" s="37"/>
      <c r="H326" s="1068"/>
      <c r="I326" s="1068"/>
      <c r="J326" s="1068"/>
      <c r="K326" s="1068"/>
      <c r="L326" s="1068"/>
      <c r="M326" s="1068"/>
      <c r="N326" s="37"/>
      <c r="O326" s="37"/>
      <c r="P326" s="232"/>
      <c r="Q326" s="232"/>
      <c r="R326" s="232"/>
      <c r="S326" s="37"/>
      <c r="T326" s="37" t="s">
        <v>1055</v>
      </c>
      <c r="V326" s="37"/>
      <c r="W326" s="37"/>
      <c r="X326" s="37"/>
      <c r="Y326" s="37"/>
      <c r="AA326" s="1068"/>
      <c r="AB326" s="1068"/>
      <c r="AC326" s="1068"/>
      <c r="AD326" s="1068"/>
      <c r="AE326" s="1068"/>
      <c r="AF326" s="1068"/>
      <c r="AG326" s="37"/>
      <c r="AH326" s="37"/>
      <c r="AI326" s="232"/>
      <c r="AJ326" s="232"/>
      <c r="AK326" s="232"/>
      <c r="BA326" s="37"/>
    </row>
    <row r="327" spans="2:53" ht="13.35" customHeight="1">
      <c r="B327" s="37" t="s">
        <v>1109</v>
      </c>
      <c r="C327" s="37"/>
      <c r="D327" s="37"/>
      <c r="E327" s="37"/>
      <c r="F327" s="37"/>
      <c r="G327" s="37"/>
      <c r="H327" s="1045"/>
      <c r="I327" s="1045"/>
      <c r="J327" s="1045"/>
      <c r="K327" s="1045"/>
      <c r="L327" s="1045"/>
      <c r="M327" s="1045"/>
      <c r="N327" s="1044"/>
      <c r="O327" s="1044"/>
      <c r="P327" s="1044"/>
      <c r="Q327" s="1044"/>
      <c r="R327" s="1044"/>
      <c r="S327" s="37"/>
      <c r="T327" s="37" t="s">
        <v>1109</v>
      </c>
      <c r="V327" s="37"/>
      <c r="W327" s="37"/>
      <c r="X327" s="37"/>
      <c r="Y327" s="37"/>
      <c r="AA327" s="1045" t="s">
        <v>1146</v>
      </c>
      <c r="AB327" s="1045"/>
      <c r="AC327" s="1045"/>
      <c r="AD327" s="1045"/>
      <c r="AE327" s="1045"/>
      <c r="AF327" s="1045"/>
      <c r="AG327" s="1044"/>
      <c r="AH327" s="1044"/>
      <c r="AI327" s="1044"/>
      <c r="AJ327" s="1044"/>
      <c r="AK327" s="1044"/>
      <c r="BA327" s="37"/>
    </row>
    <row r="328" spans="2:53" ht="13.35" customHeight="1">
      <c r="B328" s="37"/>
      <c r="C328" s="37"/>
      <c r="D328" s="37"/>
      <c r="E328" s="37"/>
      <c r="F328" s="37"/>
      <c r="G328" s="37"/>
      <c r="P328" s="877"/>
      <c r="Q328" s="877"/>
      <c r="R328" s="877"/>
      <c r="S328" s="877"/>
      <c r="T328" s="877"/>
      <c r="U328" s="877"/>
      <c r="V328" s="37"/>
      <c r="W328" s="37"/>
      <c r="X328" s="232"/>
      <c r="Y328" s="232"/>
      <c r="Z328" s="232"/>
      <c r="BA328" s="37"/>
    </row>
    <row r="329" spans="2:53" ht="13.35" customHeight="1">
      <c r="B329" s="37" t="s">
        <v>1147</v>
      </c>
      <c r="C329" s="37"/>
      <c r="D329" s="37"/>
      <c r="E329" s="37"/>
      <c r="F329" s="37"/>
      <c r="H329" s="1044" t="s">
        <v>1148</v>
      </c>
      <c r="I329" s="1044"/>
      <c r="J329" s="1044"/>
      <c r="K329" s="1044"/>
      <c r="L329" s="1044"/>
      <c r="M329" s="1044"/>
      <c r="N329" s="1044"/>
      <c r="O329" s="1044"/>
      <c r="P329" s="1044"/>
      <c r="Q329" s="1044"/>
      <c r="R329" s="1044"/>
      <c r="T329" s="37" t="s">
        <v>1149</v>
      </c>
      <c r="V329" s="37"/>
      <c r="W329" s="37"/>
      <c r="X329" s="37"/>
      <c r="Y329" s="37"/>
      <c r="AA329" s="1044" t="s">
        <v>1150</v>
      </c>
      <c r="AB329" s="1044"/>
      <c r="AC329" s="1044"/>
      <c r="AD329" s="1044"/>
      <c r="AE329" s="1044"/>
      <c r="AF329" s="1044"/>
      <c r="AG329" s="1044"/>
      <c r="AH329" s="1044"/>
      <c r="AI329" s="1044"/>
      <c r="AJ329" s="1044"/>
      <c r="AK329" s="1044"/>
      <c r="BA329" s="37"/>
    </row>
    <row r="330" spans="2:53" ht="13.35" customHeight="1">
      <c r="B330" s="37" t="s">
        <v>1100</v>
      </c>
      <c r="C330" s="37"/>
      <c r="D330" s="37"/>
      <c r="E330" s="37"/>
      <c r="F330" s="37"/>
      <c r="H330" s="1045" t="s">
        <v>1151</v>
      </c>
      <c r="I330" s="1045"/>
      <c r="J330" s="1045"/>
      <c r="K330" s="1045"/>
      <c r="L330" s="1045"/>
      <c r="M330" s="1045"/>
      <c r="N330" s="1045"/>
      <c r="O330" s="1045"/>
      <c r="P330" s="1045"/>
      <c r="Q330" s="1045"/>
      <c r="R330" s="1045"/>
      <c r="T330" s="37" t="s">
        <v>1100</v>
      </c>
      <c r="V330" s="37"/>
      <c r="W330" s="37"/>
      <c r="X330" s="37"/>
      <c r="Y330" s="37"/>
      <c r="AA330" s="1045" t="s">
        <v>1152</v>
      </c>
      <c r="AB330" s="1045"/>
      <c r="AC330" s="1045"/>
      <c r="AD330" s="1045"/>
      <c r="AE330" s="1045"/>
      <c r="AF330" s="1045"/>
      <c r="AG330" s="1045"/>
      <c r="AH330" s="1045"/>
      <c r="AI330" s="1045"/>
      <c r="AJ330" s="1045"/>
      <c r="AK330" s="1045"/>
      <c r="BA330" s="37"/>
    </row>
    <row r="331" spans="2:53" ht="13.35" customHeight="1">
      <c r="B331" s="37" t="s">
        <v>1103</v>
      </c>
      <c r="C331" s="37"/>
      <c r="D331" s="37"/>
      <c r="E331" s="37"/>
      <c r="F331" s="37"/>
      <c r="G331" s="37"/>
      <c r="H331" s="1045" t="s">
        <v>1153</v>
      </c>
      <c r="I331" s="1045"/>
      <c r="J331" s="1045"/>
      <c r="K331" s="1045"/>
      <c r="L331" s="1045"/>
      <c r="M331" s="1045"/>
      <c r="N331" s="1045"/>
      <c r="O331" s="1045"/>
      <c r="P331" s="1045"/>
      <c r="Q331" s="1045"/>
      <c r="R331" s="1045"/>
      <c r="T331" s="37" t="s">
        <v>1105</v>
      </c>
      <c r="V331" s="37"/>
      <c r="W331" s="37"/>
      <c r="X331" s="37"/>
      <c r="Y331" s="37"/>
      <c r="AA331" s="1045" t="s">
        <v>1154</v>
      </c>
      <c r="AB331" s="1045"/>
      <c r="AC331" s="1045"/>
      <c r="AD331" s="1045"/>
      <c r="AE331" s="1045"/>
      <c r="AF331" s="1045"/>
      <c r="AG331" s="1045"/>
      <c r="AH331" s="1045"/>
      <c r="AI331" s="1045"/>
      <c r="AJ331" s="1045"/>
      <c r="AK331" s="1045"/>
      <c r="BA331" s="37"/>
    </row>
    <row r="332" spans="2:53" ht="13.35" customHeight="1">
      <c r="B332" s="37" t="s">
        <v>1051</v>
      </c>
      <c r="C332" s="37"/>
      <c r="D332" s="37"/>
      <c r="E332" s="37"/>
      <c r="F332" s="37"/>
      <c r="H332" s="1045" t="s">
        <v>1155</v>
      </c>
      <c r="I332" s="1045"/>
      <c r="J332" s="1045"/>
      <c r="K332" s="1045"/>
      <c r="L332" s="1045"/>
      <c r="M332" s="1045"/>
      <c r="N332" s="1045"/>
      <c r="O332" s="1045"/>
      <c r="P332" s="1045"/>
      <c r="Q332" s="1045"/>
      <c r="R332" s="1045"/>
      <c r="T332" s="37" t="s">
        <v>1051</v>
      </c>
      <c r="V332" s="37"/>
      <c r="W332" s="37"/>
      <c r="X332" s="37"/>
      <c r="Y332" s="37"/>
      <c r="AA332" s="1045" t="s">
        <v>1156</v>
      </c>
      <c r="AB332" s="1045"/>
      <c r="AC332" s="1045"/>
      <c r="AD332" s="1045"/>
      <c r="AE332" s="1045"/>
      <c r="AF332" s="1045"/>
      <c r="AG332" s="1045"/>
      <c r="AH332" s="1045"/>
      <c r="AI332" s="1045"/>
      <c r="AJ332" s="1045"/>
      <c r="AK332" s="1045"/>
      <c r="BA332" s="37"/>
    </row>
    <row r="333" spans="2:53" ht="13.35" customHeight="1">
      <c r="B333" s="37" t="s">
        <v>1052</v>
      </c>
      <c r="C333" s="37"/>
      <c r="D333" s="37"/>
      <c r="E333" s="37"/>
      <c r="F333" s="37"/>
      <c r="G333" s="37"/>
      <c r="H333" s="1067" t="s">
        <v>1157</v>
      </c>
      <c r="I333" s="1067"/>
      <c r="J333" s="1067"/>
      <c r="K333" s="1067"/>
      <c r="L333" s="1067"/>
      <c r="M333" s="1067"/>
      <c r="N333" s="37" t="s">
        <v>1054</v>
      </c>
      <c r="O333" s="37"/>
      <c r="P333" s="1070"/>
      <c r="Q333" s="1070"/>
      <c r="R333" s="1070"/>
      <c r="T333" s="37" t="s">
        <v>1052</v>
      </c>
      <c r="V333" s="37"/>
      <c r="W333" s="37"/>
      <c r="X333" s="37"/>
      <c r="Y333" s="37"/>
      <c r="AA333" s="1067" t="s">
        <v>1158</v>
      </c>
      <c r="AB333" s="1067"/>
      <c r="AC333" s="1067"/>
      <c r="AD333" s="1067"/>
      <c r="AE333" s="1067"/>
      <c r="AF333" s="1067"/>
      <c r="AG333" s="37" t="s">
        <v>1054</v>
      </c>
      <c r="AH333" s="37"/>
      <c r="AI333" s="1070"/>
      <c r="AJ333" s="1070"/>
      <c r="AK333" s="1070"/>
      <c r="BA333" s="37"/>
    </row>
    <row r="334" spans="2:53" ht="13.35" customHeight="1">
      <c r="B334" s="37" t="s">
        <v>1055</v>
      </c>
      <c r="C334" s="37"/>
      <c r="D334" s="37"/>
      <c r="E334" s="37"/>
      <c r="F334" s="37"/>
      <c r="G334" s="37"/>
      <c r="H334" s="1068"/>
      <c r="I334" s="1068"/>
      <c r="J334" s="1068"/>
      <c r="K334" s="1068"/>
      <c r="L334" s="1068"/>
      <c r="M334" s="1068"/>
      <c r="N334" s="37"/>
      <c r="O334" s="37"/>
      <c r="P334" s="232"/>
      <c r="Q334" s="232"/>
      <c r="R334" s="232"/>
      <c r="T334" s="37" t="s">
        <v>1055</v>
      </c>
      <c r="V334" s="37"/>
      <c r="W334" s="37"/>
      <c r="X334" s="37"/>
      <c r="Y334" s="37"/>
      <c r="AA334" s="1068"/>
      <c r="AB334" s="1068"/>
      <c r="AC334" s="1068"/>
      <c r="AD334" s="1068"/>
      <c r="AE334" s="1068"/>
      <c r="AF334" s="1068"/>
      <c r="AG334" s="37"/>
      <c r="AH334" s="37"/>
      <c r="AI334" s="232"/>
      <c r="AJ334" s="232"/>
      <c r="AK334" s="232"/>
      <c r="BA334" s="37"/>
    </row>
    <row r="335" spans="2:53" ht="13.35" customHeight="1">
      <c r="B335" s="37" t="s">
        <v>1109</v>
      </c>
      <c r="C335" s="37"/>
      <c r="D335" s="37"/>
      <c r="E335" s="37"/>
      <c r="F335" s="37"/>
      <c r="G335" s="37"/>
      <c r="H335" s="1045" t="s">
        <v>1159</v>
      </c>
      <c r="I335" s="1045"/>
      <c r="J335" s="1045"/>
      <c r="K335" s="1045"/>
      <c r="L335" s="1045"/>
      <c r="M335" s="1045"/>
      <c r="N335" s="1044"/>
      <c r="O335" s="1044"/>
      <c r="P335" s="1044"/>
      <c r="Q335" s="1044"/>
      <c r="R335" s="1044"/>
      <c r="T335" s="37" t="s">
        <v>1109</v>
      </c>
      <c r="V335" s="37"/>
      <c r="W335" s="37"/>
      <c r="X335" s="37"/>
      <c r="Y335" s="37"/>
      <c r="AA335" s="1045" t="s">
        <v>1160</v>
      </c>
      <c r="AB335" s="1045"/>
      <c r="AC335" s="1045"/>
      <c r="AD335" s="1045"/>
      <c r="AE335" s="1045"/>
      <c r="AF335" s="1045"/>
      <c r="AG335" s="1044"/>
      <c r="AH335" s="1044"/>
      <c r="AI335" s="1044"/>
      <c r="AJ335" s="1044"/>
      <c r="AK335" s="1044"/>
      <c r="BA335" s="37"/>
    </row>
    <row r="336" spans="2:53" ht="13.3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3.35" customHeight="1">
      <c r="B337" s="37" t="s">
        <v>1161</v>
      </c>
      <c r="C337" s="296"/>
      <c r="D337" s="296"/>
      <c r="E337" s="296"/>
      <c r="F337" s="296"/>
      <c r="G337" s="296"/>
      <c r="H337" s="1044"/>
      <c r="I337" s="1044"/>
      <c r="J337" s="1044"/>
      <c r="K337" s="1044"/>
      <c r="L337" s="1044"/>
      <c r="M337" s="1044"/>
      <c r="N337" s="1044"/>
      <c r="O337" s="1044"/>
      <c r="P337" s="1044"/>
      <c r="Q337" s="1044"/>
      <c r="R337" s="1044"/>
      <c r="T337" s="296" t="s">
        <v>1162</v>
      </c>
      <c r="AA337" s="1044" t="s">
        <v>325</v>
      </c>
      <c r="AB337" s="1044"/>
      <c r="AC337" s="1044"/>
      <c r="AD337" s="1044"/>
      <c r="AE337" s="1044"/>
      <c r="AF337" s="1044"/>
      <c r="AG337" s="1044"/>
      <c r="AH337" s="1044"/>
      <c r="AI337" s="1044"/>
      <c r="AJ337" s="1044"/>
      <c r="AK337" s="1044"/>
      <c r="BA337" s="37"/>
    </row>
    <row r="338" spans="1:53" ht="13.35" customHeight="1">
      <c r="B338" s="296" t="s">
        <v>1100</v>
      </c>
      <c r="C338" s="296"/>
      <c r="D338" s="296"/>
      <c r="E338" s="296"/>
      <c r="F338" s="296"/>
      <c r="G338" s="296"/>
      <c r="H338" s="1045"/>
      <c r="I338" s="1045"/>
      <c r="J338" s="1045"/>
      <c r="K338" s="1045"/>
      <c r="L338" s="1045"/>
      <c r="M338" s="1045"/>
      <c r="N338" s="1045"/>
      <c r="O338" s="1045"/>
      <c r="P338" s="1045"/>
      <c r="Q338" s="1045"/>
      <c r="R338" s="1045"/>
      <c r="T338" s="37" t="s">
        <v>1100</v>
      </c>
      <c r="AA338" s="1045"/>
      <c r="AB338" s="1045"/>
      <c r="AC338" s="1045"/>
      <c r="AD338" s="1045"/>
      <c r="AE338" s="1045"/>
      <c r="AF338" s="1045"/>
      <c r="AG338" s="1045"/>
      <c r="AH338" s="1045"/>
      <c r="AI338" s="1045"/>
      <c r="AJ338" s="1045"/>
      <c r="AK338" s="1045"/>
      <c r="BA338" s="37"/>
    </row>
    <row r="339" spans="1:53" ht="13.35" customHeight="1">
      <c r="B339" s="296" t="s">
        <v>1103</v>
      </c>
      <c r="C339" s="296"/>
      <c r="D339" s="296"/>
      <c r="E339" s="296"/>
      <c r="F339" s="296"/>
      <c r="G339" s="296"/>
      <c r="H339" s="1045"/>
      <c r="I339" s="1045"/>
      <c r="J339" s="1045"/>
      <c r="K339" s="1045"/>
      <c r="L339" s="1045"/>
      <c r="M339" s="1045"/>
      <c r="N339" s="1045"/>
      <c r="O339" s="1045"/>
      <c r="P339" s="1045"/>
      <c r="Q339" s="1045"/>
      <c r="R339" s="1045"/>
      <c r="T339" s="37" t="s">
        <v>1105</v>
      </c>
      <c r="AA339" s="1045"/>
      <c r="AB339" s="1045"/>
      <c r="AC339" s="1045"/>
      <c r="AD339" s="1045"/>
      <c r="AE339" s="1045"/>
      <c r="AF339" s="1045"/>
      <c r="AG339" s="1045"/>
      <c r="AH339" s="1045"/>
      <c r="AI339" s="1045"/>
      <c r="AJ339" s="1045"/>
      <c r="AK339" s="1045"/>
    </row>
    <row r="340" spans="1:53" ht="13.35" customHeight="1">
      <c r="B340" s="296" t="s">
        <v>1051</v>
      </c>
      <c r="C340" s="296"/>
      <c r="D340" s="296"/>
      <c r="E340" s="296"/>
      <c r="F340" s="296"/>
      <c r="G340" s="296"/>
      <c r="H340" s="1045"/>
      <c r="I340" s="1045"/>
      <c r="J340" s="1045"/>
      <c r="K340" s="1045"/>
      <c r="L340" s="1045"/>
      <c r="M340" s="1045"/>
      <c r="N340" s="1045"/>
      <c r="O340" s="1045"/>
      <c r="P340" s="1045"/>
      <c r="Q340" s="1045"/>
      <c r="R340" s="1045"/>
      <c r="T340" s="37" t="s">
        <v>1051</v>
      </c>
      <c r="AA340" s="1045"/>
      <c r="AB340" s="1045"/>
      <c r="AC340" s="1045"/>
      <c r="AD340" s="1045"/>
      <c r="AE340" s="1045"/>
      <c r="AF340" s="1045"/>
      <c r="AG340" s="1045"/>
      <c r="AH340" s="1045"/>
      <c r="AI340" s="1045"/>
      <c r="AJ340" s="1045"/>
      <c r="AK340" s="1045"/>
    </row>
    <row r="341" spans="1:53" ht="13.35" customHeight="1">
      <c r="B341" s="296" t="s">
        <v>1052</v>
      </c>
      <c r="C341" s="296"/>
      <c r="D341" s="296"/>
      <c r="E341" s="296"/>
      <c r="F341" s="296"/>
      <c r="G341" s="296"/>
      <c r="H341" s="1067"/>
      <c r="I341" s="1067"/>
      <c r="J341" s="1067"/>
      <c r="K341" s="1067"/>
      <c r="L341" s="1067"/>
      <c r="M341" s="1067"/>
      <c r="N341" s="37" t="s">
        <v>1054</v>
      </c>
      <c r="O341" s="37"/>
      <c r="P341" s="1070"/>
      <c r="Q341" s="1070"/>
      <c r="R341" s="1070"/>
      <c r="T341" s="37" t="s">
        <v>1052</v>
      </c>
      <c r="AA341" s="1067"/>
      <c r="AB341" s="1067"/>
      <c r="AC341" s="1067"/>
      <c r="AD341" s="1067"/>
      <c r="AE341" s="1067"/>
      <c r="AF341" s="1067"/>
      <c r="AG341" s="37" t="s">
        <v>1054</v>
      </c>
      <c r="AH341" s="37"/>
      <c r="AI341" s="1070"/>
      <c r="AJ341" s="1070"/>
      <c r="AK341" s="1070"/>
    </row>
    <row r="342" spans="1:53" ht="13.35" customHeight="1">
      <c r="B342" s="296" t="s">
        <v>1055</v>
      </c>
      <c r="C342" s="296"/>
      <c r="D342" s="296"/>
      <c r="E342" s="296"/>
      <c r="F342" s="296"/>
      <c r="G342" s="296"/>
      <c r="H342" s="1068"/>
      <c r="I342" s="1068"/>
      <c r="J342" s="1068"/>
      <c r="K342" s="1068"/>
      <c r="L342" s="1068"/>
      <c r="M342" s="1068"/>
      <c r="N342" s="37"/>
      <c r="O342" s="37"/>
      <c r="P342" s="232"/>
      <c r="Q342" s="232"/>
      <c r="R342" s="232"/>
      <c r="T342" s="37" t="s">
        <v>1055</v>
      </c>
      <c r="AA342" s="1068"/>
      <c r="AB342" s="1068"/>
      <c r="AC342" s="1068"/>
      <c r="AD342" s="1068"/>
      <c r="AE342" s="1068"/>
      <c r="AF342" s="1068"/>
      <c r="AG342" s="37"/>
      <c r="AH342" s="37"/>
      <c r="AI342" s="232"/>
      <c r="AJ342" s="232"/>
      <c r="AK342" s="232"/>
    </row>
    <row r="343" spans="1:53" ht="13.35" customHeight="1">
      <c r="B343" s="296" t="s">
        <v>1109</v>
      </c>
      <c r="C343" s="296"/>
      <c r="D343" s="296"/>
      <c r="E343" s="296"/>
      <c r="F343" s="296"/>
      <c r="G343" s="296"/>
      <c r="H343" s="1045"/>
      <c r="I343" s="1045"/>
      <c r="J343" s="1045"/>
      <c r="K343" s="1045"/>
      <c r="L343" s="1045"/>
      <c r="M343" s="1045"/>
      <c r="N343" s="1044"/>
      <c r="O343" s="1044"/>
      <c r="P343" s="1044"/>
      <c r="Q343" s="1044"/>
      <c r="R343" s="1044"/>
      <c r="T343" s="37" t="s">
        <v>1109</v>
      </c>
      <c r="AA343" s="1045"/>
      <c r="AB343" s="1045"/>
      <c r="AC343" s="1045"/>
      <c r="AD343" s="1045"/>
      <c r="AE343" s="1045"/>
      <c r="AF343" s="1045"/>
      <c r="AG343" s="1044"/>
      <c r="AH343" s="1044"/>
      <c r="AI343" s="1044"/>
      <c r="AJ343" s="1044"/>
      <c r="AK343" s="1044"/>
    </row>
    <row r="344" spans="1:53" ht="13.3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3.35" customHeight="1">
      <c r="A345" s="1229" t="s">
        <v>1163</v>
      </c>
      <c r="B345" s="1229"/>
      <c r="C345" s="1229"/>
      <c r="D345" s="1229"/>
      <c r="E345" s="1229"/>
      <c r="F345" s="1229"/>
      <c r="G345" s="1229"/>
      <c r="H345" s="1229"/>
      <c r="I345" s="1229"/>
      <c r="J345" s="1229"/>
      <c r="K345" s="1229"/>
      <c r="L345" s="1229"/>
      <c r="M345" s="1229"/>
      <c r="N345" s="1229"/>
      <c r="O345" s="1229"/>
      <c r="P345" s="1229"/>
      <c r="Q345" s="1229"/>
      <c r="R345" s="1229"/>
      <c r="S345" s="1229"/>
      <c r="T345" s="1229"/>
      <c r="U345" s="1229"/>
      <c r="V345" s="1229"/>
      <c r="W345" s="1229"/>
      <c r="X345" s="1229"/>
      <c r="Y345" s="1229"/>
      <c r="Z345" s="1229"/>
      <c r="AA345" s="1229"/>
      <c r="AB345" s="1229"/>
      <c r="AC345" s="1229"/>
      <c r="AD345" s="1229"/>
      <c r="AE345" s="1229"/>
      <c r="AF345" s="1229"/>
      <c r="AG345" s="1229"/>
      <c r="AH345" s="1229"/>
      <c r="AI345" s="1229"/>
      <c r="AJ345" s="1229"/>
      <c r="AK345" s="1229"/>
      <c r="AL345" s="1229"/>
    </row>
    <row r="346" spans="1:53" ht="13.35" customHeight="1" thickBot="1">
      <c r="A346" s="1230"/>
      <c r="B346" s="1230"/>
      <c r="C346" s="1230"/>
      <c r="D346" s="1230"/>
      <c r="E346" s="1230"/>
      <c r="F346" s="1230"/>
      <c r="G346" s="1230"/>
      <c r="H346" s="1230"/>
      <c r="I346" s="1230"/>
      <c r="J346" s="1230"/>
      <c r="K346" s="1230"/>
      <c r="L346" s="1230"/>
      <c r="M346" s="1230"/>
      <c r="N346" s="1230"/>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c r="AL346" s="1230"/>
    </row>
    <row r="347" spans="1:53" ht="13.35" customHeight="1"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35" customHeight="1">
      <c r="A348" s="3" t="s">
        <v>854</v>
      </c>
      <c r="B348" s="3"/>
      <c r="C348" s="3" t="s">
        <v>1164</v>
      </c>
    </row>
    <row r="349" spans="1:53" ht="13.35" customHeight="1">
      <c r="D349" t="s">
        <v>1165</v>
      </c>
      <c r="M349" s="1069" t="s">
        <v>826</v>
      </c>
      <c r="N349" s="1069"/>
      <c r="P349" t="s">
        <v>1166</v>
      </c>
      <c r="AJ349" s="1069" t="s">
        <v>712</v>
      </c>
      <c r="AK349" s="1069"/>
    </row>
    <row r="350" spans="1:53" ht="13.35" customHeight="1">
      <c r="D350" s="37" t="s">
        <v>1167</v>
      </c>
      <c r="M350" s="1069" t="s">
        <v>325</v>
      </c>
      <c r="N350" s="1069"/>
      <c r="P350" s="37" t="s">
        <v>1168</v>
      </c>
      <c r="AJ350" s="1010">
        <v>0</v>
      </c>
      <c r="AK350" s="1010"/>
    </row>
    <row r="351" spans="1:53" ht="13.35" customHeight="1">
      <c r="D351" t="s">
        <v>1169</v>
      </c>
      <c r="M351" s="1069" t="s">
        <v>325</v>
      </c>
      <c r="N351" s="1069"/>
      <c r="P351" t="s">
        <v>1170</v>
      </c>
      <c r="AJ351" s="1069" t="s">
        <v>325</v>
      </c>
      <c r="AK351" s="1069"/>
    </row>
    <row r="352" spans="1:53" ht="13.35" customHeight="1">
      <c r="D352" t="s">
        <v>1171</v>
      </c>
      <c r="M352" s="1069" t="s">
        <v>325</v>
      </c>
      <c r="N352" s="1069"/>
      <c r="Q352" s="37"/>
    </row>
    <row r="353" spans="1:57" ht="13.35" customHeight="1">
      <c r="P353" s="296"/>
      <c r="Q353" s="296"/>
      <c r="R353" s="296"/>
    </row>
    <row r="354" spans="1:57" ht="13.35" customHeight="1"/>
    <row r="355" spans="1:57" ht="13.35" customHeight="1">
      <c r="A355" s="3" t="s">
        <v>889</v>
      </c>
      <c r="B355" s="3"/>
      <c r="C355" s="3" t="s">
        <v>1172</v>
      </c>
      <c r="D355" s="3"/>
    </row>
    <row r="356" spans="1:57" ht="13.35" customHeight="1">
      <c r="D356" s="41" t="s">
        <v>1173</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3.35" customHeight="1">
      <c r="D357" s="41" t="s">
        <v>1174</v>
      </c>
      <c r="E357" s="42"/>
      <c r="F357" s="42"/>
      <c r="G357" s="42"/>
      <c r="H357" s="42"/>
      <c r="I357" s="42"/>
      <c r="J357" s="42"/>
      <c r="K357" s="42"/>
      <c r="L357" s="42"/>
      <c r="M357" s="42"/>
      <c r="N357" s="1069" t="s">
        <v>325</v>
      </c>
      <c r="O357" s="1069"/>
      <c r="P357" s="42"/>
      <c r="Q357" s="42"/>
      <c r="R357" s="42"/>
      <c r="S357" s="42"/>
      <c r="T357" s="42"/>
      <c r="U357" s="42"/>
      <c r="V357" s="42"/>
      <c r="W357" s="42"/>
      <c r="X357" s="42"/>
      <c r="Y357" s="42"/>
      <c r="Z357" s="42"/>
      <c r="AC357" s="42"/>
      <c r="AD357" s="42"/>
      <c r="AE357" s="42"/>
    </row>
    <row r="358" spans="1:57" ht="13.35" customHeight="1">
      <c r="E358" t="s">
        <v>1175</v>
      </c>
      <c r="Y358" s="1069" t="s">
        <v>325</v>
      </c>
      <c r="Z358" s="1069"/>
    </row>
    <row r="359" spans="1:57" ht="13.35" customHeight="1">
      <c r="D359" t="s">
        <v>1176</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3.35" customHeight="1">
      <c r="D360" t="s">
        <v>1177</v>
      </c>
      <c r="E360" s="42"/>
      <c r="F360" s="42"/>
      <c r="G360" s="42"/>
      <c r="H360" s="42"/>
      <c r="I360" s="42"/>
      <c r="J360" s="1069" t="s">
        <v>325</v>
      </c>
      <c r="K360" s="1069"/>
      <c r="L360" s="42"/>
      <c r="M360" s="42"/>
      <c r="N360" s="42"/>
      <c r="O360" s="42"/>
      <c r="P360" s="42"/>
      <c r="Q360" s="42"/>
      <c r="R360" s="42"/>
      <c r="S360" s="42"/>
      <c r="T360" s="42"/>
      <c r="U360" s="42"/>
      <c r="V360" s="42"/>
      <c r="W360" s="42"/>
      <c r="X360" s="42"/>
      <c r="Y360" s="42"/>
      <c r="Z360" s="42"/>
      <c r="AC360" s="42"/>
      <c r="AD360" s="42"/>
      <c r="AE360" s="42"/>
    </row>
    <row r="361" spans="1:57" ht="13.35" customHeight="1">
      <c r="E361" s="938" t="s">
        <v>1178</v>
      </c>
      <c r="F361" s="938"/>
      <c r="G361" s="938"/>
      <c r="H361" s="938"/>
      <c r="I361" s="938"/>
      <c r="J361" s="938"/>
      <c r="K361" s="938"/>
      <c r="L361" s="938"/>
      <c r="M361" s="938"/>
      <c r="N361" s="938"/>
      <c r="O361" s="938"/>
      <c r="P361" s="938"/>
      <c r="Q361" s="938"/>
      <c r="R361" s="938"/>
      <c r="S361" s="938"/>
      <c r="T361" s="938"/>
      <c r="U361" s="938"/>
      <c r="V361" s="938"/>
      <c r="W361" s="938"/>
      <c r="X361" s="938"/>
      <c r="Y361" s="938"/>
      <c r="Z361" s="938"/>
      <c r="AA361" s="938"/>
      <c r="AB361" s="938"/>
      <c r="AC361" s="938"/>
      <c r="AD361" s="938"/>
      <c r="AE361" s="938"/>
      <c r="AF361" s="938"/>
      <c r="AG361" s="938"/>
      <c r="AH361" s="938"/>
      <c r="BE361" t="s">
        <v>325</v>
      </c>
    </row>
    <row r="362" spans="1:57" ht="13.35" customHeight="1">
      <c r="E362" s="938"/>
      <c r="F362" s="938"/>
      <c r="G362" s="938"/>
      <c r="H362" s="938"/>
      <c r="I362" s="938"/>
      <c r="J362" s="938"/>
      <c r="K362" s="938"/>
      <c r="L362" s="938"/>
      <c r="M362" s="938"/>
      <c r="N362" s="938"/>
      <c r="O362" s="938"/>
      <c r="P362" s="938"/>
      <c r="Q362" s="938"/>
      <c r="R362" s="938"/>
      <c r="S362" s="938"/>
      <c r="T362" s="938"/>
      <c r="U362" s="938"/>
      <c r="V362" s="938"/>
      <c r="W362" s="938"/>
      <c r="X362" s="938"/>
      <c r="Y362" s="938"/>
      <c r="Z362" s="938"/>
      <c r="AA362" s="938"/>
      <c r="AB362" s="938"/>
      <c r="AC362" s="938"/>
      <c r="AD362" s="938"/>
      <c r="AE362" s="938"/>
      <c r="AF362" s="938"/>
      <c r="AG362" s="938"/>
      <c r="AH362" s="938"/>
      <c r="BE362" t="s">
        <v>712</v>
      </c>
    </row>
    <row r="363" spans="1:57" ht="13.35" customHeight="1">
      <c r="E363" s="37" t="s">
        <v>1179</v>
      </c>
      <c r="F363" s="37"/>
      <c r="G363" s="37"/>
      <c r="H363" s="37"/>
      <c r="I363" s="37"/>
      <c r="J363" s="37"/>
      <c r="K363" s="37"/>
      <c r="L363" s="37"/>
      <c r="N363" s="1071"/>
      <c r="O363" s="1071"/>
      <c r="P363" s="1071"/>
      <c r="Q363" s="1071"/>
      <c r="R363" s="37"/>
      <c r="U363" s="37" t="s">
        <v>1180</v>
      </c>
      <c r="V363" s="37"/>
      <c r="W363" s="37"/>
      <c r="X363" s="37"/>
      <c r="Y363" s="37"/>
      <c r="Z363" s="37"/>
      <c r="AA363" s="37"/>
      <c r="AB363" s="37"/>
      <c r="AC363" s="1071"/>
      <c r="AD363" s="1071"/>
      <c r="AE363" s="1071"/>
      <c r="AF363" s="1071"/>
      <c r="BE363" t="s">
        <v>826</v>
      </c>
    </row>
    <row r="364" spans="1:57" ht="13.35" customHeight="1">
      <c r="E364" s="37" t="s">
        <v>1181</v>
      </c>
      <c r="F364" s="37"/>
      <c r="G364" s="37"/>
      <c r="H364" s="37"/>
      <c r="I364" s="37"/>
      <c r="J364" s="37"/>
      <c r="K364" s="37"/>
      <c r="L364" s="37"/>
      <c r="N364" s="1071"/>
      <c r="O364" s="1071"/>
      <c r="P364" s="1071"/>
      <c r="Q364" s="1071"/>
      <c r="R364" s="37"/>
      <c r="U364" s="37" t="s">
        <v>1182</v>
      </c>
      <c r="V364" s="37"/>
      <c r="W364" s="37"/>
      <c r="X364" s="37"/>
      <c r="Y364" s="37"/>
      <c r="Z364" s="37"/>
      <c r="AA364" s="37"/>
      <c r="AB364" s="37"/>
      <c r="AC364" s="1071"/>
      <c r="AD364" s="1071"/>
      <c r="AE364" s="1071"/>
      <c r="AF364" s="1071"/>
    </row>
    <row r="365" spans="1:57" ht="13.35" customHeight="1">
      <c r="E365" s="37" t="s">
        <v>1183</v>
      </c>
      <c r="F365" s="37"/>
      <c r="G365" s="37"/>
      <c r="H365" s="37"/>
      <c r="I365" s="37"/>
      <c r="J365" s="37"/>
      <c r="K365" s="37"/>
      <c r="L365" s="37"/>
      <c r="N365" s="1071"/>
      <c r="O365" s="1071"/>
      <c r="P365" s="1071"/>
      <c r="Q365" s="1071"/>
      <c r="R365" s="37"/>
      <c r="V365" s="37"/>
      <c r="W365" s="37"/>
      <c r="X365" s="37"/>
      <c r="Y365" s="37"/>
      <c r="Z365" s="37"/>
      <c r="AA365" s="37"/>
      <c r="AB365" s="37"/>
    </row>
    <row r="366" spans="1:57" ht="13.35" customHeight="1">
      <c r="E366" s="37" t="s">
        <v>1184</v>
      </c>
      <c r="F366" s="37"/>
      <c r="G366" s="37"/>
      <c r="H366" s="37"/>
      <c r="I366" s="37"/>
      <c r="J366" s="37"/>
      <c r="K366" s="37"/>
      <c r="L366" s="37"/>
      <c r="N366" s="1248"/>
      <c r="O366" s="1248"/>
      <c r="P366" s="1248"/>
      <c r="Q366" s="1248"/>
      <c r="R366" s="1248"/>
      <c r="S366" s="1248"/>
      <c r="T366" s="1248"/>
      <c r="U366" s="1248"/>
      <c r="V366" s="1248"/>
      <c r="W366" s="1248"/>
      <c r="X366" s="1248"/>
      <c r="Y366" s="1248"/>
      <c r="Z366" s="1248"/>
      <c r="AA366" s="1248"/>
      <c r="AB366" s="1248"/>
      <c r="AC366" s="1248"/>
      <c r="AD366" s="1248"/>
      <c r="AE366" s="1248"/>
      <c r="AF366" s="1248"/>
    </row>
    <row r="367" spans="1:57" ht="13.35" customHeight="1">
      <c r="E367" s="37"/>
      <c r="F367" s="37"/>
      <c r="G367" s="37"/>
      <c r="H367" s="37"/>
      <c r="I367" s="37"/>
      <c r="J367" s="37"/>
      <c r="K367" s="37"/>
      <c r="L367" s="37"/>
      <c r="N367" s="1249"/>
      <c r="O367" s="1249"/>
      <c r="P367" s="1249"/>
      <c r="Q367" s="1249"/>
      <c r="R367" s="1249"/>
      <c r="S367" s="1249"/>
      <c r="T367" s="1249"/>
      <c r="U367" s="1249"/>
      <c r="V367" s="1249"/>
      <c r="W367" s="1249"/>
      <c r="X367" s="1249"/>
      <c r="Y367" s="1249"/>
      <c r="Z367" s="1249"/>
      <c r="AA367" s="1249"/>
      <c r="AB367" s="1249"/>
      <c r="AC367" s="1249"/>
      <c r="AD367" s="1249"/>
      <c r="AE367" s="1249"/>
      <c r="AF367" s="1249"/>
    </row>
    <row r="368" spans="1:57" ht="13.35" customHeight="1">
      <c r="E368" s="37"/>
      <c r="F368" s="37"/>
      <c r="G368" s="37"/>
      <c r="H368" s="37"/>
      <c r="I368" s="37"/>
      <c r="J368" s="37"/>
      <c r="K368" s="37"/>
      <c r="L368" s="37"/>
    </row>
    <row r="369" spans="1:36" ht="13.35" customHeight="1">
      <c r="D369" s="303" t="s">
        <v>1185</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3.35" customHeight="1">
      <c r="D370" s="296"/>
      <c r="E370" s="296" t="s">
        <v>1186</v>
      </c>
      <c r="F370" s="296"/>
      <c r="G370" s="296"/>
      <c r="H370" s="296"/>
      <c r="I370" s="296"/>
      <c r="J370" s="296"/>
      <c r="K370" s="296"/>
      <c r="L370" s="296"/>
      <c r="M370" s="296"/>
      <c r="O370" s="296"/>
      <c r="P370" s="845" t="s">
        <v>865</v>
      </c>
      <c r="Q370" s="296" t="s">
        <v>866</v>
      </c>
      <c r="R370" s="296"/>
      <c r="S370" s="1073"/>
      <c r="T370" s="1073"/>
      <c r="U370" s="300" t="s">
        <v>867</v>
      </c>
      <c r="V370" s="1073"/>
      <c r="W370" s="1073"/>
      <c r="X370" s="296"/>
      <c r="Z370" s="296"/>
      <c r="AA370" s="845" t="s">
        <v>865</v>
      </c>
      <c r="AB370" s="296" t="s">
        <v>866</v>
      </c>
      <c r="AC370" s="296"/>
      <c r="AD370" s="1073"/>
      <c r="AE370" s="1073"/>
      <c r="AF370" s="300" t="s">
        <v>867</v>
      </c>
      <c r="AG370" s="1073"/>
      <c r="AH370" s="1073"/>
    </row>
    <row r="371" spans="1:36" ht="13.35" customHeight="1">
      <c r="D371" s="296"/>
      <c r="E371" s="296" t="s">
        <v>1187</v>
      </c>
      <c r="F371" s="296"/>
      <c r="G371" s="296"/>
      <c r="H371" s="296"/>
      <c r="I371" s="296"/>
      <c r="J371" s="296"/>
      <c r="K371" s="296"/>
      <c r="L371" s="296"/>
      <c r="M371" s="296"/>
      <c r="N371" s="1073"/>
      <c r="O371" s="1073"/>
      <c r="P371" s="1073"/>
      <c r="Q371" s="296"/>
      <c r="R371" s="296"/>
      <c r="S371" s="296"/>
      <c r="T371" s="296"/>
      <c r="U371" s="296"/>
      <c r="V371" s="296"/>
      <c r="W371" s="296"/>
      <c r="X371" s="296"/>
      <c r="Y371" s="296"/>
      <c r="Z371" s="296"/>
      <c r="AA371" s="296"/>
      <c r="AB371" s="296"/>
      <c r="AC371" s="296"/>
      <c r="AD371" s="296"/>
      <c r="AE371" s="296"/>
      <c r="AF371" s="296"/>
      <c r="AG371" s="296"/>
      <c r="AH371" s="296"/>
    </row>
    <row r="372" spans="1:36" ht="13.35" customHeight="1">
      <c r="D372" s="296"/>
      <c r="E372" s="296" t="s">
        <v>1188</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072" t="s">
        <v>325</v>
      </c>
      <c r="AH372" s="1072"/>
    </row>
    <row r="373" spans="1:36" ht="13.35" customHeight="1">
      <c r="D373" s="296"/>
      <c r="E373" s="296"/>
      <c r="F373" s="296"/>
      <c r="G373" s="296" t="s">
        <v>1189</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072" t="s">
        <v>325</v>
      </c>
      <c r="AH373" s="1072"/>
    </row>
    <row r="374" spans="1:36" ht="13.35" customHeight="1">
      <c r="D374" s="296"/>
      <c r="E374" s="296"/>
      <c r="F374" s="296"/>
      <c r="G374" s="430" t="s">
        <v>1190</v>
      </c>
      <c r="H374" s="296"/>
      <c r="I374" s="296"/>
      <c r="J374" s="296"/>
      <c r="K374" s="296"/>
      <c r="L374" s="296"/>
      <c r="M374" s="296"/>
      <c r="N374" s="296"/>
      <c r="O374" s="296"/>
      <c r="P374" s="296"/>
      <c r="Q374" s="296"/>
      <c r="R374" s="296"/>
      <c r="S374" s="296"/>
      <c r="T374" s="296"/>
      <c r="U374" s="296"/>
      <c r="V374" s="1072" t="s">
        <v>325</v>
      </c>
      <c r="W374" s="1072"/>
      <c r="X374" s="296"/>
      <c r="Y374" s="380" t="s">
        <v>1191</v>
      </c>
      <c r="Z374" s="296"/>
      <c r="AA374" s="296"/>
      <c r="AB374" s="296"/>
      <c r="AC374" s="296"/>
      <c r="AD374" s="296"/>
      <c r="AE374" s="296"/>
      <c r="AF374" s="296"/>
      <c r="AG374" s="296"/>
      <c r="AH374" s="296"/>
    </row>
    <row r="375" spans="1:36" ht="13.35" customHeight="1">
      <c r="D375" s="296"/>
      <c r="E375" s="296" t="s">
        <v>1192</v>
      </c>
      <c r="F375" s="296"/>
      <c r="G375" s="296"/>
      <c r="H375" s="296"/>
      <c r="I375" s="296"/>
      <c r="J375" s="296"/>
      <c r="K375" s="296"/>
      <c r="L375" s="296"/>
      <c r="M375" s="296"/>
      <c r="N375" s="296"/>
      <c r="O375" s="296"/>
      <c r="P375" s="296"/>
      <c r="Q375" s="296"/>
      <c r="R375" s="296"/>
      <c r="S375" s="296"/>
      <c r="T375" s="296"/>
      <c r="U375" s="296"/>
      <c r="V375" s="1072" t="s">
        <v>325</v>
      </c>
      <c r="W375" s="1072"/>
      <c r="X375" s="296"/>
      <c r="Y375" s="296" t="s">
        <v>1193</v>
      </c>
      <c r="Z375" s="296"/>
      <c r="AA375" s="296"/>
      <c r="AB375" s="296"/>
      <c r="AC375" s="296"/>
      <c r="AD375" s="296"/>
      <c r="AE375" s="296"/>
      <c r="AF375" s="296"/>
      <c r="AG375" s="296"/>
      <c r="AH375" s="296"/>
    </row>
    <row r="376" spans="1:36" ht="13.3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3.35" customHeight="1">
      <c r="A377" s="3" t="s">
        <v>970</v>
      </c>
      <c r="B377" s="3"/>
      <c r="C377" s="3" t="s">
        <v>153</v>
      </c>
    </row>
    <row r="378" spans="1:36" ht="13.35" customHeight="1">
      <c r="D378" t="s">
        <v>1194</v>
      </c>
      <c r="J378" s="1044" t="s">
        <v>1195</v>
      </c>
      <c r="K378" s="1044"/>
      <c r="L378" s="1044"/>
      <c r="M378" s="1044"/>
      <c r="N378" s="1044"/>
      <c r="O378" s="1044"/>
      <c r="P378" s="1044"/>
      <c r="Q378" s="1044"/>
      <c r="R378" s="1044"/>
      <c r="S378" s="1044"/>
      <c r="T378" s="1044"/>
      <c r="U378" s="1044"/>
      <c r="V378" s="12" t="s">
        <v>1196</v>
      </c>
      <c r="W378" s="12"/>
      <c r="X378" s="12"/>
      <c r="Y378" s="12"/>
      <c r="Z378" s="12"/>
      <c r="AA378" s="12"/>
      <c r="AB378" s="12"/>
      <c r="AC378" s="1044" t="s">
        <v>1197</v>
      </c>
      <c r="AD378" s="1044"/>
      <c r="AE378" s="1044"/>
      <c r="AF378" s="1044"/>
      <c r="AG378" s="1044"/>
      <c r="AH378" s="1044"/>
      <c r="AI378" s="1044"/>
      <c r="AJ378" s="1044"/>
    </row>
    <row r="379" spans="1:36" ht="13.35" customHeight="1">
      <c r="D379" s="37" t="s">
        <v>1198</v>
      </c>
      <c r="J379" s="1045" t="s">
        <v>1197</v>
      </c>
      <c r="K379" s="1045"/>
      <c r="L379" s="1045"/>
      <c r="M379" s="1045"/>
      <c r="N379" s="1045"/>
      <c r="O379" s="1045"/>
      <c r="P379" s="1045"/>
      <c r="Q379" s="1045"/>
      <c r="R379" s="1045"/>
      <c r="S379" s="1045"/>
      <c r="T379" s="1045"/>
      <c r="U379" s="1045"/>
      <c r="V379" s="37" t="s">
        <v>1198</v>
      </c>
      <c r="W379" s="12"/>
      <c r="X379" s="12"/>
      <c r="Y379" s="12"/>
      <c r="Z379" s="12"/>
      <c r="AA379" s="12"/>
      <c r="AB379" s="12"/>
      <c r="AC379" s="1044" t="s">
        <v>1197</v>
      </c>
      <c r="AD379" s="1044"/>
      <c r="AE379" s="1044"/>
      <c r="AF379" s="1044"/>
      <c r="AG379" s="1044"/>
      <c r="AH379" s="1044"/>
      <c r="AI379" s="1044"/>
      <c r="AJ379" s="1044"/>
    </row>
    <row r="380" spans="1:36" ht="13.35" customHeight="1">
      <c r="D380" s="37" t="s">
        <v>808</v>
      </c>
      <c r="J380" s="1045" t="s">
        <v>1199</v>
      </c>
      <c r="K380" s="1045"/>
      <c r="L380" s="1045"/>
      <c r="M380" s="1045"/>
      <c r="N380" s="1045"/>
      <c r="O380" s="1045"/>
      <c r="P380" s="1045"/>
      <c r="Q380" s="1045"/>
      <c r="R380" s="1045"/>
      <c r="S380" s="1045"/>
      <c r="T380" s="1045"/>
      <c r="U380" s="1045"/>
      <c r="V380" s="37" t="s">
        <v>808</v>
      </c>
      <c r="W380" s="12"/>
      <c r="X380" s="12"/>
      <c r="Y380" s="12"/>
      <c r="Z380" s="12"/>
      <c r="AA380" s="12"/>
      <c r="AB380" s="12"/>
      <c r="AC380" s="1044"/>
      <c r="AD380" s="1044"/>
      <c r="AE380" s="1044"/>
      <c r="AF380" s="1044"/>
      <c r="AG380" s="1044"/>
      <c r="AH380" s="1044"/>
      <c r="AI380" s="1044"/>
      <c r="AJ380" s="1044"/>
    </row>
    <row r="381" spans="1:36" ht="13.35" customHeight="1">
      <c r="D381" t="s">
        <v>1200</v>
      </c>
      <c r="J381" s="1059" t="s">
        <v>1201</v>
      </c>
      <c r="K381" s="1059"/>
      <c r="L381" s="1059"/>
      <c r="M381" s="1059"/>
      <c r="N381" s="1059"/>
      <c r="O381" s="1059"/>
      <c r="P381" s="1059"/>
      <c r="Q381" s="1059"/>
      <c r="R381" s="1059"/>
      <c r="S381" s="1059"/>
      <c r="T381" s="1059"/>
      <c r="U381" s="1059"/>
      <c r="V381" s="1044" t="s">
        <v>1202</v>
      </c>
      <c r="W381" s="1044"/>
      <c r="X381" s="1044"/>
      <c r="Y381" s="1044"/>
      <c r="Z381" s="1044"/>
      <c r="AA381" s="1044"/>
      <c r="AB381" s="1044"/>
      <c r="AC381" s="1044"/>
      <c r="AD381" s="1044"/>
      <c r="AE381" s="1044"/>
      <c r="AF381" s="1044"/>
      <c r="AG381" s="1044"/>
      <c r="AH381" s="1044"/>
      <c r="AI381" s="1044"/>
      <c r="AJ381" s="1044"/>
    </row>
    <row r="382" spans="1:36" ht="13.35" customHeight="1">
      <c r="D382" t="s">
        <v>1203</v>
      </c>
      <c r="Q382" s="1351">
        <v>44718</v>
      </c>
      <c r="R382" s="1351"/>
      <c r="S382" s="1351"/>
      <c r="T382" s="1351"/>
      <c r="U382" s="1351"/>
      <c r="V382" t="s">
        <v>1204</v>
      </c>
      <c r="AI382" s="1069" t="s">
        <v>712</v>
      </c>
      <c r="AJ382" s="1069"/>
    </row>
    <row r="383" spans="1:36" ht="13.35" customHeight="1">
      <c r="D383" t="s">
        <v>1205</v>
      </c>
      <c r="Q383" s="1158">
        <v>44319</v>
      </c>
      <c r="R383" s="1250"/>
      <c r="S383" s="1250"/>
      <c r="T383" s="1250"/>
      <c r="U383" s="1250"/>
      <c r="W383" s="27" t="s">
        <v>1206</v>
      </c>
      <c r="AG383" s="1090" t="s">
        <v>712</v>
      </c>
      <c r="AH383" s="1090"/>
      <c r="AI383" s="1090"/>
      <c r="AJ383" s="1090"/>
    </row>
    <row r="384" spans="1:36" ht="13.35" customHeight="1">
      <c r="D384" t="s">
        <v>1207</v>
      </c>
      <c r="Q384" s="1074" t="s">
        <v>2522</v>
      </c>
      <c r="R384" s="1074"/>
      <c r="S384" s="1074"/>
      <c r="T384" s="1074"/>
      <c r="U384" s="1074"/>
      <c r="V384" s="37" t="s">
        <v>1208</v>
      </c>
      <c r="AG384" s="1196" t="s">
        <v>2523</v>
      </c>
      <c r="AH384" s="1196"/>
      <c r="AI384" s="1196"/>
      <c r="AJ384" s="1196"/>
    </row>
    <row r="385" spans="4:36" ht="13.35" customHeight="1">
      <c r="D385" t="s">
        <v>1052</v>
      </c>
      <c r="I385" s="1067"/>
      <c r="J385" s="1067"/>
      <c r="K385" s="1067"/>
      <c r="L385" s="1067"/>
      <c r="M385" s="1067"/>
      <c r="N385" s="1067"/>
      <c r="Q385" s="37" t="s">
        <v>1054</v>
      </c>
      <c r="S385" s="1088"/>
      <c r="T385" s="1088"/>
      <c r="U385" s="1088"/>
      <c r="V385" t="s">
        <v>1209</v>
      </c>
      <c r="AI385" s="1069" t="s">
        <v>712</v>
      </c>
      <c r="AJ385" s="1069"/>
    </row>
    <row r="386" spans="4:36" ht="13.35" customHeight="1">
      <c r="D386" t="s">
        <v>1210</v>
      </c>
      <c r="Q386" s="1089">
        <v>5000</v>
      </c>
      <c r="R386" s="1089"/>
      <c r="S386" s="1089"/>
      <c r="T386" s="1089"/>
      <c r="U386" s="1089"/>
      <c r="V386" t="s">
        <v>1211</v>
      </c>
      <c r="AG386" s="1090">
        <v>25000</v>
      </c>
      <c r="AH386" s="1090"/>
      <c r="AI386" s="1090"/>
      <c r="AJ386" s="1090"/>
    </row>
    <row r="387" spans="4:36" ht="13.35" customHeight="1">
      <c r="D387" t="s">
        <v>1212</v>
      </c>
      <c r="Q387" s="1365">
        <v>1.2500000000000001E-2</v>
      </c>
      <c r="R387" s="1365"/>
      <c r="S387" s="1365"/>
      <c r="T387" s="1365"/>
      <c r="U387" s="1365"/>
      <c r="V387" t="s">
        <v>1213</v>
      </c>
      <c r="AG387" s="1090">
        <v>0</v>
      </c>
      <c r="AH387" s="1090"/>
      <c r="AI387" s="1090"/>
      <c r="AJ387" s="1090"/>
    </row>
    <row r="388" spans="4:36" ht="13.35" customHeight="1">
      <c r="D388" t="s">
        <v>1214</v>
      </c>
      <c r="AG388" s="1090">
        <v>0</v>
      </c>
      <c r="AH388" s="1090"/>
      <c r="AI388" s="1090"/>
      <c r="AJ388" s="1090"/>
    </row>
    <row r="389" spans="4:36" ht="13.35" customHeight="1">
      <c r="AG389" s="740"/>
      <c r="AH389" s="740"/>
      <c r="AI389" s="740"/>
      <c r="AJ389" s="740"/>
    </row>
    <row r="390" spans="4:36" ht="13.35" customHeight="1">
      <c r="D390" s="37" t="s">
        <v>1215</v>
      </c>
      <c r="AG390" s="740"/>
      <c r="AH390" s="740"/>
      <c r="AI390" s="1069" t="s">
        <v>712</v>
      </c>
      <c r="AJ390" s="1069"/>
    </row>
    <row r="391" spans="4:36" ht="13.35" customHeight="1">
      <c r="D391" s="37" t="s">
        <v>1216</v>
      </c>
      <c r="T391" s="1369" t="s">
        <v>325</v>
      </c>
      <c r="U391" s="1369"/>
      <c r="V391" s="1369"/>
      <c r="W391" s="1369"/>
      <c r="X391" s="1369"/>
      <c r="Y391" s="1369"/>
      <c r="Z391" s="1369"/>
      <c r="AA391" s="1369"/>
      <c r="AB391" s="1369"/>
      <c r="AC391" s="1369"/>
      <c r="AD391" s="1369"/>
      <c r="AE391" s="1369"/>
      <c r="AF391" s="1369"/>
      <c r="AG391" s="1369"/>
      <c r="AH391" s="1369"/>
      <c r="AI391" s="1369"/>
      <c r="AJ391" s="1369"/>
    </row>
    <row r="392" spans="4:36" ht="13.35" customHeight="1">
      <c r="D392" s="37" t="s">
        <v>1217</v>
      </c>
      <c r="T392" s="1369" t="s">
        <v>325</v>
      </c>
      <c r="U392" s="1369"/>
      <c r="V392" s="1369"/>
      <c r="W392" s="1369"/>
      <c r="X392" s="1369"/>
      <c r="Y392" s="1369"/>
      <c r="Z392" s="1369"/>
      <c r="AA392" s="1369"/>
      <c r="AB392" s="1369"/>
      <c r="AC392" s="1369"/>
      <c r="AD392" s="1369"/>
      <c r="AE392" s="1369"/>
      <c r="AF392" s="1369"/>
      <c r="AG392" s="1369"/>
      <c r="AH392" s="1369"/>
      <c r="AI392" s="1369"/>
      <c r="AJ392" s="1369"/>
    </row>
    <row r="393" spans="4:36" ht="13.35" customHeight="1">
      <c r="AG393" s="740"/>
      <c r="AH393" s="740"/>
      <c r="AI393" s="740"/>
      <c r="AJ393" s="740"/>
    </row>
    <row r="394" spans="4:36" ht="13.35" customHeight="1">
      <c r="D394" s="37" t="s">
        <v>1218</v>
      </c>
      <c r="S394" s="1369" t="s">
        <v>712</v>
      </c>
      <c r="T394" s="1369"/>
      <c r="U394" s="1369"/>
      <c r="V394" t="s">
        <v>1219</v>
      </c>
      <c r="AG394" s="1399"/>
      <c r="AH394" s="1399"/>
      <c r="AI394" s="1399"/>
      <c r="AJ394" s="1399"/>
    </row>
    <row r="395" spans="4:36" ht="13.35" customHeight="1">
      <c r="D395" s="37" t="s">
        <v>1220</v>
      </c>
      <c r="S395" s="1369" t="s">
        <v>325</v>
      </c>
      <c r="T395" s="1369"/>
      <c r="U395" s="1369"/>
      <c r="V395" t="s">
        <v>1221</v>
      </c>
      <c r="AE395" s="1400"/>
      <c r="AF395" s="1400"/>
      <c r="AG395" s="1400"/>
      <c r="AH395" s="1400"/>
      <c r="AI395" s="1400"/>
      <c r="AJ395" s="1400"/>
    </row>
    <row r="396" spans="4:36" ht="13.35" customHeight="1">
      <c r="D396" s="37" t="s">
        <v>1222</v>
      </c>
      <c r="K396" s="1235" t="s">
        <v>325</v>
      </c>
      <c r="L396" s="1235"/>
      <c r="M396" s="1235"/>
      <c r="N396" s="1235"/>
      <c r="O396" s="1235"/>
      <c r="P396" s="1235"/>
      <c r="Q396" s="1235"/>
      <c r="R396" s="1235"/>
      <c r="S396" s="1235"/>
      <c r="T396" s="1235"/>
      <c r="U396" s="1235"/>
      <c r="V396" s="1235"/>
      <c r="W396" s="1235"/>
      <c r="X396" s="1235"/>
      <c r="Y396" s="1235"/>
      <c r="Z396" s="1235"/>
      <c r="AA396" s="1235"/>
      <c r="AB396" s="1235"/>
      <c r="AC396" s="1235"/>
      <c r="AD396" s="1235"/>
      <c r="AE396" s="1235"/>
      <c r="AF396" s="1235"/>
      <c r="AG396" s="1235"/>
      <c r="AH396" s="1235"/>
      <c r="AI396" s="1235"/>
      <c r="AJ396" s="1235"/>
    </row>
    <row r="397" spans="4:36" ht="13.35" customHeight="1">
      <c r="D397" s="37" t="s">
        <v>1223</v>
      </c>
      <c r="K397" s="1235" t="s">
        <v>325</v>
      </c>
      <c r="L397" s="1235"/>
      <c r="M397" s="1235"/>
      <c r="N397" s="1235"/>
      <c r="O397" s="1235"/>
      <c r="P397" s="1235"/>
      <c r="Q397" s="1235"/>
      <c r="R397" s="1235"/>
      <c r="S397" s="1235"/>
      <c r="T397" s="1235"/>
      <c r="U397" s="1235"/>
      <c r="V397" s="1235"/>
      <c r="W397" s="1235"/>
      <c r="X397" s="1235"/>
      <c r="Y397" s="1235"/>
      <c r="Z397" s="1235"/>
      <c r="AA397" s="1235"/>
      <c r="AB397" s="1235"/>
      <c r="AC397" s="1235"/>
      <c r="AD397" s="1235"/>
      <c r="AE397" s="1235"/>
      <c r="AF397" s="1235"/>
      <c r="AG397" s="1235"/>
      <c r="AH397" s="1235"/>
      <c r="AI397" s="1235"/>
      <c r="AJ397" s="1235"/>
    </row>
    <row r="398" spans="4:36" ht="13.35" customHeight="1">
      <c r="D398" s="37" t="s">
        <v>1224</v>
      </c>
      <c r="E398" s="721"/>
      <c r="F398" s="721"/>
      <c r="G398" s="721"/>
      <c r="H398" s="721"/>
      <c r="I398" s="721"/>
      <c r="J398" s="721"/>
      <c r="K398" s="721"/>
      <c r="L398" s="721"/>
      <c r="M398" s="721"/>
      <c r="N398" s="721"/>
      <c r="O398" s="721"/>
      <c r="P398" s="721"/>
      <c r="Q398" s="721"/>
      <c r="R398" s="721"/>
      <c r="S398" s="1352" t="s">
        <v>1225</v>
      </c>
      <c r="T398" s="1352"/>
      <c r="U398" s="1352"/>
      <c r="V398" s="1352"/>
      <c r="W398" s="1352"/>
      <c r="X398" s="1352"/>
      <c r="Y398" s="1352"/>
      <c r="Z398" s="1352"/>
      <c r="AA398" s="1352"/>
      <c r="AB398" s="1352"/>
      <c r="AC398" s="1352"/>
      <c r="AD398" s="1352"/>
      <c r="AE398" s="1352"/>
      <c r="AF398" s="1352"/>
      <c r="AG398" s="1352"/>
      <c r="AH398" s="1352"/>
      <c r="AI398" s="1352"/>
      <c r="AJ398" s="1352"/>
    </row>
    <row r="399" spans="4:36" ht="13.35" customHeight="1">
      <c r="D399" s="941" t="s">
        <v>1226</v>
      </c>
      <c r="E399" s="941"/>
      <c r="F399" s="941"/>
      <c r="G399" s="941"/>
      <c r="H399" s="941"/>
      <c r="I399" s="941"/>
      <c r="J399" s="941"/>
      <c r="K399" s="941"/>
      <c r="L399" s="941"/>
      <c r="M399" s="941"/>
      <c r="N399" s="941"/>
      <c r="O399" s="941"/>
      <c r="P399" s="941"/>
      <c r="Q399" s="941"/>
      <c r="R399" s="941"/>
      <c r="S399" s="941"/>
      <c r="T399" s="941"/>
      <c r="U399" s="941"/>
      <c r="V399" s="941"/>
      <c r="W399" s="941"/>
      <c r="X399" s="941"/>
      <c r="Y399" s="941"/>
      <c r="Z399" s="941"/>
      <c r="AA399" s="941"/>
      <c r="AB399" s="941"/>
      <c r="AC399" s="941"/>
      <c r="AD399" s="941"/>
      <c r="AE399" s="941"/>
      <c r="AF399" s="941"/>
      <c r="AG399" s="941"/>
      <c r="AH399" s="941"/>
      <c r="AI399" s="941"/>
      <c r="AJ399" s="941"/>
    </row>
    <row r="400" spans="4:36" ht="13.35" customHeight="1">
      <c r="D400" s="941"/>
      <c r="E400" s="941"/>
      <c r="F400" s="941"/>
      <c r="G400" s="941"/>
      <c r="H400" s="941"/>
      <c r="I400" s="941"/>
      <c r="J400" s="941"/>
      <c r="K400" s="941"/>
      <c r="L400" s="941"/>
      <c r="M400" s="941"/>
      <c r="N400" s="941"/>
      <c r="O400" s="941"/>
      <c r="P400" s="941"/>
      <c r="Q400" s="941"/>
      <c r="R400" s="941"/>
      <c r="S400" s="941"/>
      <c r="T400" s="941"/>
      <c r="U400" s="941"/>
      <c r="V400" s="941"/>
      <c r="W400" s="941"/>
      <c r="X400" s="941"/>
      <c r="Y400" s="941"/>
      <c r="Z400" s="941"/>
      <c r="AA400" s="941"/>
      <c r="AB400" s="941"/>
      <c r="AC400" s="941"/>
      <c r="AD400" s="941"/>
      <c r="AE400" s="941"/>
      <c r="AF400" s="941"/>
      <c r="AG400" s="941"/>
      <c r="AH400" s="941"/>
      <c r="AI400" s="941"/>
      <c r="AJ400" s="941"/>
    </row>
    <row r="401" spans="1:36" ht="13.35" customHeight="1">
      <c r="AG401" s="740"/>
      <c r="AH401" s="740"/>
      <c r="AI401" s="740"/>
      <c r="AJ401" s="740"/>
    </row>
    <row r="402" spans="1:36" ht="13.35" customHeight="1">
      <c r="A402" s="3" t="s">
        <v>991</v>
      </c>
      <c r="B402" s="3"/>
      <c r="C402" s="3" t="s">
        <v>155</v>
      </c>
    </row>
    <row r="403" spans="1:36" ht="13.35" customHeight="1">
      <c r="D403" s="3" t="s">
        <v>1227</v>
      </c>
      <c r="I403" s="1070" t="s">
        <v>1228</v>
      </c>
      <c r="J403" s="1070"/>
      <c r="K403" s="1070"/>
      <c r="L403" s="1070"/>
      <c r="M403" s="1070"/>
      <c r="N403" s="1070"/>
      <c r="O403" s="1070"/>
      <c r="P403" s="1070"/>
      <c r="Q403" s="1070"/>
      <c r="R403" s="1070"/>
      <c r="S403" s="1070"/>
      <c r="T403" s="1070"/>
      <c r="U403" s="1070"/>
      <c r="V403" s="1070"/>
      <c r="W403" s="1070"/>
      <c r="X403" s="1070"/>
      <c r="Y403" s="1070"/>
      <c r="Z403" s="1070"/>
      <c r="AA403" s="1070"/>
      <c r="AB403" s="1070"/>
      <c r="AC403" s="1070"/>
      <c r="AD403" s="1070"/>
    </row>
    <row r="404" spans="1:36" ht="13.35" customHeight="1">
      <c r="E404" t="s">
        <v>1229</v>
      </c>
      <c r="R404" s="1069" t="s">
        <v>826</v>
      </c>
      <c r="S404" s="1069"/>
      <c r="T404" t="s">
        <v>1230</v>
      </c>
      <c r="AD404" s="1071">
        <v>3</v>
      </c>
      <c r="AE404" s="1071"/>
    </row>
    <row r="405" spans="1:36" ht="13.35" customHeight="1">
      <c r="E405" t="s">
        <v>1231</v>
      </c>
      <c r="R405" s="1069" t="s">
        <v>325</v>
      </c>
      <c r="S405" s="1069"/>
      <c r="T405" t="s">
        <v>1230</v>
      </c>
      <c r="AD405" s="1071"/>
      <c r="AE405" s="1071"/>
    </row>
    <row r="406" spans="1:36" ht="13.35" customHeight="1">
      <c r="E406" t="s">
        <v>1232</v>
      </c>
      <c r="S406" s="1069" t="s">
        <v>325</v>
      </c>
      <c r="T406" s="1069"/>
    </row>
    <row r="407" spans="1:36" ht="13.35" customHeight="1">
      <c r="E407" t="s">
        <v>1233</v>
      </c>
      <c r="H407" s="1402" t="s">
        <v>1234</v>
      </c>
      <c r="I407" s="1402"/>
      <c r="J407" s="1402"/>
      <c r="K407" s="1402"/>
      <c r="L407" s="1402"/>
      <c r="M407" s="1402"/>
      <c r="N407" s="1402"/>
      <c r="O407" s="1402"/>
      <c r="P407" s="1402"/>
      <c r="Q407" s="1402"/>
      <c r="R407" s="1402"/>
      <c r="S407" s="1402"/>
      <c r="T407" s="1402"/>
      <c r="U407" s="1402"/>
      <c r="V407" s="1402"/>
      <c r="W407" s="1402"/>
      <c r="X407" s="1402"/>
      <c r="Y407" s="1402"/>
      <c r="Z407" s="1402"/>
      <c r="AA407" s="1402"/>
      <c r="AB407" s="1402"/>
      <c r="AC407" s="1402"/>
      <c r="AD407" s="1402"/>
      <c r="AE407" s="1402"/>
      <c r="AF407" s="1402"/>
      <c r="AG407" s="1402"/>
      <c r="AH407" s="1402"/>
      <c r="AI407" s="1402"/>
      <c r="AJ407" s="1402"/>
    </row>
    <row r="408" spans="1:36" ht="13.35" customHeight="1">
      <c r="H408" s="1403"/>
      <c r="I408" s="1403"/>
      <c r="J408" s="1403"/>
      <c r="K408" s="1403"/>
      <c r="L408" s="1403"/>
      <c r="M408" s="1403"/>
      <c r="N408" s="1403"/>
      <c r="O408" s="1403"/>
      <c r="P408" s="1403"/>
      <c r="Q408" s="1403"/>
      <c r="R408" s="1403"/>
      <c r="S408" s="1403"/>
      <c r="T408" s="1403"/>
      <c r="U408" s="1403"/>
      <c r="V408" s="1403"/>
      <c r="W408" s="1403"/>
      <c r="X408" s="1403"/>
      <c r="Y408" s="1403"/>
      <c r="Z408" s="1403"/>
      <c r="AA408" s="1403"/>
      <c r="AB408" s="1403"/>
      <c r="AC408" s="1403"/>
      <c r="AD408" s="1403"/>
      <c r="AE408" s="1403"/>
      <c r="AF408" s="1403"/>
      <c r="AG408" s="1403"/>
      <c r="AH408" s="1403"/>
      <c r="AI408" s="1403"/>
      <c r="AJ408" s="1403"/>
    </row>
    <row r="409" spans="1:36" ht="13.35" customHeight="1"/>
    <row r="410" spans="1:36" ht="13.35" customHeight="1">
      <c r="A410" s="3" t="s">
        <v>1006</v>
      </c>
      <c r="B410" s="3"/>
      <c r="C410" s="3"/>
      <c r="D410" s="3" t="s">
        <v>160</v>
      </c>
      <c r="AE410" s="37"/>
      <c r="AF410" s="3" t="s">
        <v>1235</v>
      </c>
    </row>
    <row r="411" spans="1:36" ht="13.35" customHeight="1">
      <c r="E411" s="1404"/>
      <c r="F411" s="1404"/>
      <c r="G411" s="1404"/>
      <c r="H411" s="18" t="s">
        <v>1236</v>
      </c>
      <c r="I411" s="1404"/>
      <c r="J411" s="1404"/>
      <c r="K411" s="1404"/>
      <c r="L411" t="s">
        <v>1237</v>
      </c>
      <c r="N411" s="31" t="s">
        <v>1238</v>
      </c>
      <c r="P411" s="1405">
        <v>0.60550000000000004</v>
      </c>
      <c r="Q411" s="1405"/>
      <c r="R411" s="1405"/>
      <c r="S411" t="s">
        <v>1239</v>
      </c>
      <c r="W411" s="1406">
        <f>IF(E411&gt;0,(E411*I411),(P411*43560))</f>
        <v>26375.58</v>
      </c>
      <c r="X411" s="1406"/>
      <c r="Y411" s="1406"/>
      <c r="Z411" t="s">
        <v>1240</v>
      </c>
      <c r="AF411" s="1417">
        <f>IF(P411&gt;0,(AG430/P411),(AG430/(W411/43560)))</f>
        <v>72.667217175887686</v>
      </c>
      <c r="AG411" s="1417"/>
      <c r="AH411" s="1417"/>
    </row>
    <row r="412" spans="1:36" ht="13.35" customHeight="1">
      <c r="E412" t="s">
        <v>1241</v>
      </c>
    </row>
    <row r="413" spans="1:36" ht="13.35" customHeight="1">
      <c r="E413" s="1398" t="s">
        <v>2536</v>
      </c>
      <c r="F413" s="1398"/>
      <c r="G413" s="1398"/>
      <c r="H413" s="1398"/>
      <c r="I413" s="1398"/>
      <c r="J413" s="1398"/>
      <c r="K413" s="1398"/>
      <c r="L413" s="1398"/>
      <c r="M413" s="1398"/>
      <c r="N413" s="1398"/>
      <c r="O413" s="1398"/>
      <c r="P413" s="1398"/>
      <c r="Q413" s="1398"/>
      <c r="R413" s="1398"/>
      <c r="S413" s="1398"/>
      <c r="T413" s="1398"/>
      <c r="U413" s="1398"/>
      <c r="V413" s="1398"/>
      <c r="W413" s="1398"/>
      <c r="X413" s="1398"/>
      <c r="Y413" s="1398"/>
      <c r="Z413" s="1398"/>
      <c r="AA413" s="1398"/>
      <c r="AB413" s="1398"/>
      <c r="AC413" s="1398"/>
      <c r="AD413" s="1398"/>
      <c r="AE413" s="1398"/>
      <c r="AF413" s="1398"/>
      <c r="AG413" s="1398"/>
      <c r="AH413" s="1398"/>
      <c r="AI413" s="1398"/>
      <c r="AJ413" s="1398"/>
    </row>
    <row r="414" spans="1:36" ht="13.35" customHeight="1">
      <c r="E414" s="232" t="s">
        <v>1242</v>
      </c>
      <c r="F414" s="27"/>
      <c r="G414" s="27"/>
      <c r="H414" s="27"/>
      <c r="I414" s="1392">
        <v>0.60550000000000004</v>
      </c>
      <c r="J414" s="1392"/>
      <c r="K414" s="1392"/>
      <c r="L414" s="27"/>
      <c r="M414" s="232"/>
      <c r="N414" s="27"/>
      <c r="O414" s="27"/>
      <c r="P414" s="1416">
        <f>(CQ615+CS620+CQ634)/I414</f>
        <v>72.667217175887686</v>
      </c>
      <c r="Q414" s="1416"/>
      <c r="R414" s="1416"/>
      <c r="S414" s="232" t="s">
        <v>1243</v>
      </c>
      <c r="T414" s="27"/>
      <c r="U414" s="27"/>
      <c r="V414" s="27"/>
      <c r="W414" s="27"/>
      <c r="X414" s="27"/>
      <c r="Y414" s="27"/>
      <c r="Z414" s="27"/>
      <c r="AA414" s="27"/>
      <c r="AB414" s="27"/>
      <c r="AC414" s="27"/>
      <c r="AD414" s="27"/>
      <c r="AE414" s="27"/>
      <c r="AF414" s="27"/>
      <c r="AG414" s="27"/>
      <c r="AH414" s="27"/>
      <c r="AI414" s="27"/>
      <c r="AJ414" s="27"/>
    </row>
    <row r="415" spans="1:36" ht="13.35" customHeight="1"/>
    <row r="416" spans="1:36" ht="13.35" customHeight="1">
      <c r="A416" s="3" t="s">
        <v>1016</v>
      </c>
      <c r="B416" s="3"/>
      <c r="C416" s="3"/>
      <c r="D416" s="3" t="s">
        <v>162</v>
      </c>
    </row>
    <row r="417" spans="1:36" ht="13.35" customHeight="1">
      <c r="E417" t="s">
        <v>1244</v>
      </c>
      <c r="P417" s="1069">
        <v>1</v>
      </c>
      <c r="Q417" s="1069"/>
      <c r="S417" t="s">
        <v>1245</v>
      </c>
      <c r="AE417" s="1069">
        <v>1</v>
      </c>
      <c r="AF417" s="1069"/>
    </row>
    <row r="418" spans="1:36" ht="13.35" customHeight="1">
      <c r="E418" t="s">
        <v>1246</v>
      </c>
      <c r="P418" s="1069">
        <v>1</v>
      </c>
      <c r="Q418" s="1069"/>
      <c r="S418" t="s">
        <v>1247</v>
      </c>
      <c r="AE418" s="1069" t="s">
        <v>325</v>
      </c>
      <c r="AF418" s="1069"/>
    </row>
    <row r="419" spans="1:36" ht="13.35" customHeight="1">
      <c r="F419" s="4" t="s">
        <v>1248</v>
      </c>
    </row>
    <row r="420" spans="1:36" ht="13.35" customHeight="1">
      <c r="F420" s="1340"/>
      <c r="G420" s="1340"/>
      <c r="H420" s="1340"/>
      <c r="I420" s="1340"/>
      <c r="J420" s="1340"/>
      <c r="K420" s="1340"/>
      <c r="L420" s="1340"/>
      <c r="M420" s="1340"/>
      <c r="N420" s="1340"/>
      <c r="O420" s="1340"/>
      <c r="P420" s="1340"/>
      <c r="Q420" s="1340"/>
      <c r="R420" s="1340"/>
      <c r="S420" s="1340"/>
      <c r="T420" s="1340"/>
      <c r="U420" s="1340"/>
      <c r="V420" s="1340"/>
      <c r="W420" s="1340"/>
      <c r="X420" s="1340"/>
      <c r="Y420" s="1340"/>
      <c r="Z420" s="1340"/>
      <c r="AA420" s="1340"/>
      <c r="AB420" s="1340"/>
      <c r="AC420" s="1340"/>
      <c r="AD420" s="1340"/>
      <c r="AE420" s="1340"/>
      <c r="AF420" s="1340"/>
      <c r="AG420" s="1340"/>
      <c r="AH420" s="1340"/>
    </row>
    <row r="421" spans="1:36" ht="13.35" customHeight="1">
      <c r="F421" s="1341"/>
      <c r="G421" s="1341"/>
      <c r="H421" s="1341"/>
      <c r="I421" s="1341"/>
      <c r="J421" s="1341"/>
      <c r="K421" s="1341"/>
      <c r="L421" s="1341"/>
      <c r="M421" s="1341"/>
      <c r="N421" s="1341"/>
      <c r="O421" s="1341"/>
      <c r="P421" s="1341"/>
      <c r="Q421" s="1341"/>
      <c r="R421" s="1341"/>
      <c r="S421" s="1341"/>
      <c r="T421" s="1341"/>
      <c r="U421" s="1341"/>
      <c r="V421" s="1341"/>
      <c r="W421" s="1341"/>
      <c r="X421" s="1341"/>
      <c r="Y421" s="1341"/>
      <c r="Z421" s="1341"/>
      <c r="AA421" s="1341"/>
      <c r="AB421" s="1341"/>
      <c r="AC421" s="1341"/>
      <c r="AD421" s="1341"/>
      <c r="AE421" s="1341"/>
      <c r="AF421" s="1341"/>
      <c r="AG421" s="1341"/>
      <c r="AH421" s="1341"/>
    </row>
    <row r="422" spans="1:36" ht="13.35" customHeight="1">
      <c r="E422" t="s">
        <v>1249</v>
      </c>
      <c r="P422" s="1"/>
      <c r="Q422" s="1069" t="s">
        <v>826</v>
      </c>
      <c r="R422" s="1069"/>
      <c r="AE422" s="1"/>
      <c r="AF422" s="1"/>
    </row>
    <row r="423" spans="1:36" ht="13.35" customHeight="1">
      <c r="F423" t="s">
        <v>1250</v>
      </c>
      <c r="P423" s="1"/>
      <c r="Q423" s="1"/>
      <c r="AE423" s="1069" t="s">
        <v>325</v>
      </c>
      <c r="AF423" s="1238"/>
    </row>
    <row r="424" spans="1:36" ht="13.35" customHeight="1"/>
    <row r="425" spans="1:36" ht="13.35" customHeight="1">
      <c r="A425" s="3"/>
      <c r="B425" s="3"/>
      <c r="C425" s="3"/>
      <c r="E425" s="37" t="s">
        <v>1251</v>
      </c>
      <c r="Z425" s="1069" t="s">
        <v>712</v>
      </c>
      <c r="AA425" s="1069"/>
    </row>
    <row r="426" spans="1:36" ht="13.35" customHeight="1">
      <c r="F426" s="41" t="s">
        <v>1252</v>
      </c>
      <c r="G426" s="42"/>
      <c r="H426" s="42"/>
      <c r="I426" s="42"/>
      <c r="J426" s="42"/>
      <c r="K426" s="42"/>
      <c r="L426" s="42"/>
      <c r="M426" s="42"/>
      <c r="N426" s="42"/>
      <c r="O426" s="42"/>
      <c r="P426" s="42"/>
      <c r="Q426" s="42"/>
      <c r="R426" s="42"/>
      <c r="S426" s="42"/>
      <c r="T426" s="42"/>
      <c r="U426" s="42"/>
      <c r="V426" s="42"/>
      <c r="W426" s="42"/>
      <c r="AB426" s="42"/>
    </row>
    <row r="427" spans="1:36" ht="13.35" customHeight="1">
      <c r="F427" t="s">
        <v>1253</v>
      </c>
      <c r="G427" s="42"/>
      <c r="I427" s="42"/>
      <c r="J427" s="42"/>
      <c r="K427" s="42"/>
      <c r="L427" s="42"/>
      <c r="M427" s="42"/>
      <c r="N427" s="42"/>
      <c r="Q427" s="37"/>
      <c r="R427" s="42"/>
      <c r="S427" s="42"/>
      <c r="T427" s="42"/>
      <c r="U427" s="42"/>
      <c r="V427" s="42"/>
      <c r="W427" s="42"/>
      <c r="Z427" s="1069" t="s">
        <v>325</v>
      </c>
      <c r="AA427" s="1069"/>
    </row>
    <row r="428" spans="1:36" ht="13.35" customHeight="1"/>
    <row r="429" spans="1:36" ht="13.35" customHeight="1">
      <c r="A429" s="3" t="s">
        <v>1034</v>
      </c>
      <c r="B429" s="3"/>
      <c r="C429" s="3"/>
      <c r="D429" s="3" t="s">
        <v>169</v>
      </c>
      <c r="AF429" s="47"/>
    </row>
    <row r="430" spans="1:36" ht="13.35" customHeight="1">
      <c r="D430" s="1188" t="s">
        <v>1254</v>
      </c>
      <c r="E430" s="1189"/>
      <c r="F430" s="1189"/>
      <c r="G430" s="1189"/>
      <c r="H430" s="1189"/>
      <c r="I430" s="1189"/>
      <c r="J430" s="1189"/>
      <c r="K430" s="1189"/>
      <c r="L430" s="1189"/>
      <c r="M430" s="1189"/>
      <c r="N430" s="1189"/>
      <c r="O430" s="1189"/>
      <c r="P430" s="1189"/>
      <c r="Q430" s="1189"/>
      <c r="R430" s="1189"/>
      <c r="S430" s="1189"/>
      <c r="T430" s="1189"/>
      <c r="U430" s="1189"/>
      <c r="V430" s="1189"/>
      <c r="W430" s="1189"/>
      <c r="X430" s="1189"/>
      <c r="Y430" s="1189"/>
      <c r="Z430" s="1189"/>
      <c r="AA430" s="1189"/>
      <c r="AB430" s="1189"/>
      <c r="AC430" s="1189"/>
      <c r="AD430" s="1189"/>
      <c r="AE430" s="1189"/>
      <c r="AF430" s="1397"/>
      <c r="AG430" s="1343">
        <v>44</v>
      </c>
      <c r="AH430" s="1343"/>
      <c r="AI430" s="1343"/>
      <c r="AJ430" s="1343"/>
    </row>
    <row r="431" spans="1:36" ht="13.35" customHeight="1">
      <c r="D431" s="1335" t="s">
        <v>1255</v>
      </c>
      <c r="E431" s="1336"/>
      <c r="F431" s="1336"/>
      <c r="G431" s="1336"/>
      <c r="H431" s="1336"/>
      <c r="I431" s="1336"/>
      <c r="J431" s="1336"/>
      <c r="K431" s="1336"/>
      <c r="L431" s="1336"/>
      <c r="M431" s="1336"/>
      <c r="N431" s="1336"/>
      <c r="O431" s="1336"/>
      <c r="P431" s="1336"/>
      <c r="Q431" s="1336"/>
      <c r="R431" s="1336"/>
      <c r="S431" s="1336"/>
      <c r="T431" s="1336"/>
      <c r="U431" s="1336"/>
      <c r="V431" s="1336"/>
      <c r="W431" s="1336"/>
      <c r="X431" s="1336"/>
      <c r="Y431" s="1336"/>
      <c r="Z431" s="1336"/>
      <c r="AA431" s="1336"/>
      <c r="AB431" s="1336"/>
      <c r="AC431" s="1336"/>
      <c r="AD431" s="1336"/>
      <c r="AE431" s="1336"/>
      <c r="AF431" s="1337"/>
      <c r="AG431" s="1401">
        <v>0</v>
      </c>
      <c r="AH431" s="1178"/>
      <c r="AI431" s="1178"/>
      <c r="AJ431" s="1178"/>
    </row>
    <row r="432" spans="1:36" ht="13.35" customHeight="1">
      <c r="D432" s="1335" t="s">
        <v>1256</v>
      </c>
      <c r="E432" s="1336"/>
      <c r="F432" s="1336"/>
      <c r="G432" s="1336"/>
      <c r="H432" s="1336"/>
      <c r="I432" s="1336"/>
      <c r="J432" s="1336"/>
      <c r="K432" s="1336"/>
      <c r="L432" s="1336"/>
      <c r="M432" s="1336"/>
      <c r="N432" s="1336"/>
      <c r="O432" s="1336"/>
      <c r="P432" s="1336"/>
      <c r="Q432" s="1336"/>
      <c r="R432" s="1336"/>
      <c r="S432" s="1336"/>
      <c r="T432" s="1336"/>
      <c r="U432" s="1336"/>
      <c r="V432" s="1336"/>
      <c r="W432" s="1336"/>
      <c r="X432" s="1336"/>
      <c r="Y432" s="1336"/>
      <c r="Z432" s="1336"/>
      <c r="AA432" s="1336"/>
      <c r="AB432" s="1336"/>
      <c r="AC432" s="1336"/>
      <c r="AD432" s="1336"/>
      <c r="AE432" s="1336"/>
      <c r="AF432" s="1337"/>
      <c r="AG432" s="1343">
        <v>43</v>
      </c>
      <c r="AH432" s="1343"/>
      <c r="AI432" s="1343"/>
      <c r="AJ432" s="1343"/>
    </row>
    <row r="433" spans="4:36" ht="13.35" customHeight="1">
      <c r="D433" s="1335" t="s">
        <v>1257</v>
      </c>
      <c r="E433" s="1336"/>
      <c r="F433" s="1336"/>
      <c r="G433" s="1336"/>
      <c r="H433" s="1336"/>
      <c r="I433" s="1336"/>
      <c r="J433" s="1336"/>
      <c r="K433" s="1336"/>
      <c r="L433" s="1336"/>
      <c r="M433" s="1336"/>
      <c r="N433" s="1336"/>
      <c r="O433" s="1336"/>
      <c r="P433" s="1336"/>
      <c r="Q433" s="1336"/>
      <c r="R433" s="1336"/>
      <c r="S433" s="1336"/>
      <c r="T433" s="1336"/>
      <c r="U433" s="1336"/>
      <c r="V433" s="1336"/>
      <c r="W433" s="1336"/>
      <c r="X433" s="1336"/>
      <c r="Y433" s="1336"/>
      <c r="Z433" s="1336"/>
      <c r="AA433" s="1336"/>
      <c r="AB433" s="1336"/>
      <c r="AC433" s="1336"/>
      <c r="AD433" s="1336"/>
      <c r="AE433" s="1336"/>
      <c r="AF433" s="1337"/>
      <c r="AG433" s="1343">
        <v>43</v>
      </c>
      <c r="AH433" s="1343"/>
      <c r="AI433" s="1343"/>
      <c r="AJ433" s="1343"/>
    </row>
    <row r="434" spans="4:36" ht="13.35" customHeight="1">
      <c r="D434" s="1335" t="s">
        <v>1258</v>
      </c>
      <c r="E434" s="1336"/>
      <c r="F434" s="1336"/>
      <c r="G434" s="1336"/>
      <c r="H434" s="1336"/>
      <c r="I434" s="1336"/>
      <c r="J434" s="1336"/>
      <c r="K434" s="1336"/>
      <c r="L434" s="1336"/>
      <c r="M434" s="1336"/>
      <c r="N434" s="1336"/>
      <c r="O434" s="1336"/>
      <c r="P434" s="1336"/>
      <c r="Q434" s="1336"/>
      <c r="R434" s="1336"/>
      <c r="S434" s="1336"/>
      <c r="T434" s="1336"/>
      <c r="U434" s="1336"/>
      <c r="V434" s="1336"/>
      <c r="W434" s="1336"/>
      <c r="X434" s="1336"/>
      <c r="Y434" s="1336"/>
      <c r="Z434" s="1336"/>
      <c r="AA434" s="1336"/>
      <c r="AB434" s="1336"/>
      <c r="AC434" s="1336"/>
      <c r="AD434" s="1336"/>
      <c r="AE434" s="1336"/>
      <c r="AF434" s="1337"/>
      <c r="AG434" s="1363">
        <f>IF(ISERROR(AG433/AG432),"",AG433/AG432)</f>
        <v>1</v>
      </c>
      <c r="AH434" s="1363"/>
      <c r="AI434" s="1363"/>
      <c r="AJ434" s="1363"/>
    </row>
    <row r="435" spans="4:36" ht="13.35" customHeight="1">
      <c r="D435" s="1335" t="s">
        <v>1259</v>
      </c>
      <c r="E435" s="1336"/>
      <c r="F435" s="1336"/>
      <c r="G435" s="1336"/>
      <c r="H435" s="1336"/>
      <c r="I435" s="1336"/>
      <c r="J435" s="1336"/>
      <c r="K435" s="1336"/>
      <c r="L435" s="1336"/>
      <c r="M435" s="1336"/>
      <c r="N435" s="1336"/>
      <c r="O435" s="1336"/>
      <c r="P435" s="1336"/>
      <c r="Q435" s="1336"/>
      <c r="R435" s="1336"/>
      <c r="S435" s="1336"/>
      <c r="T435" s="1336"/>
      <c r="U435" s="1336"/>
      <c r="V435" s="1336"/>
      <c r="W435" s="1336"/>
      <c r="X435" s="1336"/>
      <c r="Y435" s="1336"/>
      <c r="Z435" s="1336"/>
      <c r="AA435" s="1336"/>
      <c r="AB435" s="1336"/>
      <c r="AC435" s="1336"/>
      <c r="AD435" s="1336"/>
      <c r="AE435" s="1336"/>
      <c r="AF435" s="1337"/>
      <c r="AG435" s="1367">
        <v>19023</v>
      </c>
      <c r="AH435" s="1367"/>
      <c r="AI435" s="1367"/>
      <c r="AJ435" s="1367"/>
    </row>
    <row r="436" spans="4:36" ht="13.35" customHeight="1">
      <c r="D436" s="1335" t="s">
        <v>1260</v>
      </c>
      <c r="E436" s="1336"/>
      <c r="F436" s="1336"/>
      <c r="G436" s="1336"/>
      <c r="H436" s="1336"/>
      <c r="I436" s="1336"/>
      <c r="J436" s="1336"/>
      <c r="K436" s="1336"/>
      <c r="L436" s="1336"/>
      <c r="M436" s="1336"/>
      <c r="N436" s="1336"/>
      <c r="O436" s="1336"/>
      <c r="P436" s="1336"/>
      <c r="Q436" s="1336"/>
      <c r="R436" s="1336"/>
      <c r="S436" s="1336"/>
      <c r="T436" s="1336"/>
      <c r="U436" s="1336"/>
      <c r="V436" s="1336"/>
      <c r="W436" s="1336"/>
      <c r="X436" s="1336"/>
      <c r="Y436" s="1336"/>
      <c r="Z436" s="1336"/>
      <c r="AA436" s="1336"/>
      <c r="AB436" s="1336"/>
      <c r="AC436" s="1336"/>
      <c r="AD436" s="1336"/>
      <c r="AE436" s="1336"/>
      <c r="AF436" s="1337"/>
      <c r="AG436" s="1367">
        <v>19023</v>
      </c>
      <c r="AH436" s="1367"/>
      <c r="AI436" s="1367"/>
      <c r="AJ436" s="1367"/>
    </row>
    <row r="437" spans="4:36" ht="13.35" customHeight="1">
      <c r="D437" s="1335" t="s">
        <v>1261</v>
      </c>
      <c r="E437" s="1336"/>
      <c r="F437" s="1336"/>
      <c r="G437" s="1336"/>
      <c r="H437" s="1336"/>
      <c r="I437" s="1336"/>
      <c r="J437" s="1336"/>
      <c r="K437" s="1336"/>
      <c r="L437" s="1336"/>
      <c r="M437" s="1336"/>
      <c r="N437" s="1336"/>
      <c r="O437" s="1336"/>
      <c r="P437" s="1336"/>
      <c r="Q437" s="1336"/>
      <c r="R437" s="1336"/>
      <c r="S437" s="1336"/>
      <c r="T437" s="1336"/>
      <c r="U437" s="1336"/>
      <c r="V437" s="1336"/>
      <c r="W437" s="1336"/>
      <c r="X437" s="1336"/>
      <c r="Y437" s="1336"/>
      <c r="Z437" s="1336"/>
      <c r="AA437" s="1336"/>
      <c r="AB437" s="1336"/>
      <c r="AC437" s="1336"/>
      <c r="AD437" s="1336"/>
      <c r="AE437" s="1336"/>
      <c r="AF437" s="1337"/>
      <c r="AG437" s="1363">
        <f>IF(ISERROR(AG436/AG435),"",AG436/AG435)</f>
        <v>1</v>
      </c>
      <c r="AH437" s="1363"/>
      <c r="AI437" s="1363"/>
      <c r="AJ437" s="1363"/>
    </row>
    <row r="438" spans="4:36" ht="13.35" customHeight="1">
      <c r="D438" s="1335" t="s">
        <v>1262</v>
      </c>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c r="Y438" s="1336"/>
      <c r="Z438" s="1336"/>
      <c r="AA438" s="1336"/>
      <c r="AB438" s="1336"/>
      <c r="AC438" s="1336"/>
      <c r="AD438" s="1336"/>
      <c r="AE438" s="1336"/>
      <c r="AF438" s="1337"/>
      <c r="AG438" s="1363">
        <f>MIN(IF(AG434&gt;AG437,AG437,AG434),1)</f>
        <v>1</v>
      </c>
      <c r="AH438" s="1363"/>
      <c r="AI438" s="1363"/>
      <c r="AJ438" s="1363"/>
    </row>
    <row r="439" spans="4:36" ht="13.35" customHeight="1">
      <c r="D439" s="1335" t="s">
        <v>1263</v>
      </c>
      <c r="E439" s="1189"/>
      <c r="F439" s="1189"/>
      <c r="G439" s="1189"/>
      <c r="H439" s="1189"/>
      <c r="I439" s="1189"/>
      <c r="J439" s="1189"/>
      <c r="K439" s="1189"/>
      <c r="L439" s="1189"/>
      <c r="M439" s="1189"/>
      <c r="N439" s="1189"/>
      <c r="O439" s="1189"/>
      <c r="P439" s="1189"/>
      <c r="Q439" s="1189"/>
      <c r="R439" s="1189"/>
      <c r="S439" s="1189"/>
      <c r="T439" s="1189"/>
      <c r="U439" s="1189"/>
      <c r="V439" s="1189"/>
      <c r="W439" s="1189"/>
      <c r="X439" s="1189"/>
      <c r="Y439" s="1189"/>
      <c r="Z439" s="1189"/>
      <c r="AA439" s="1189"/>
      <c r="AB439" s="1189"/>
      <c r="AC439" s="1189"/>
      <c r="AD439" s="1189"/>
      <c r="AE439" s="1189"/>
      <c r="AF439" s="1397"/>
      <c r="AG439" s="1367">
        <v>1402</v>
      </c>
      <c r="AH439" s="1367"/>
      <c r="AI439" s="1367"/>
      <c r="AJ439" s="1367"/>
    </row>
    <row r="440" spans="4:36" ht="13.35" customHeight="1">
      <c r="D440" s="1335" t="s">
        <v>1264</v>
      </c>
      <c r="E440" s="1336"/>
      <c r="F440" s="1336"/>
      <c r="G440" s="1336"/>
      <c r="H440" s="1336"/>
      <c r="I440" s="1336"/>
      <c r="J440" s="1336"/>
      <c r="K440" s="1336"/>
      <c r="L440" s="1336"/>
      <c r="M440" s="1336"/>
      <c r="N440" s="1336"/>
      <c r="O440" s="1336"/>
      <c r="P440" s="1336"/>
      <c r="Q440" s="1336"/>
      <c r="R440" s="1336"/>
      <c r="S440" s="1336"/>
      <c r="T440" s="1336"/>
      <c r="U440" s="1336"/>
      <c r="V440" s="1336"/>
      <c r="W440" s="1336"/>
      <c r="X440" s="1336"/>
      <c r="Y440" s="1336"/>
      <c r="Z440" s="1336"/>
      <c r="AA440" s="1336"/>
      <c r="AB440" s="1336"/>
      <c r="AC440" s="1336"/>
      <c r="AD440" s="1336"/>
      <c r="AE440" s="1336"/>
      <c r="AF440" s="1337"/>
      <c r="AG440" s="1367">
        <v>0</v>
      </c>
      <c r="AH440" s="1367"/>
      <c r="AI440" s="1367"/>
      <c r="AJ440" s="1367"/>
    </row>
    <row r="441" spans="4:36" ht="13.35" customHeight="1">
      <c r="D441" s="1335" t="s">
        <v>1265</v>
      </c>
      <c r="E441" s="1336"/>
      <c r="F441" s="1336"/>
      <c r="G441" s="1336"/>
      <c r="H441" s="1336"/>
      <c r="I441" s="1336"/>
      <c r="J441" s="1336"/>
      <c r="K441" s="1336"/>
      <c r="L441" s="1336"/>
      <c r="M441" s="1336"/>
      <c r="N441" s="1336"/>
      <c r="O441" s="1336"/>
      <c r="P441" s="1336"/>
      <c r="Q441" s="1336"/>
      <c r="R441" s="1336"/>
      <c r="S441" s="1336"/>
      <c r="T441" s="1336"/>
      <c r="U441" s="1336"/>
      <c r="V441" s="1336"/>
      <c r="W441" s="1336"/>
      <c r="X441" s="1336"/>
      <c r="Y441" s="1336"/>
      <c r="Z441" s="1336"/>
      <c r="AA441" s="1336"/>
      <c r="AB441" s="1336"/>
      <c r="AC441" s="1336"/>
      <c r="AD441" s="1336"/>
      <c r="AE441" s="1336"/>
      <c r="AF441" s="1337"/>
      <c r="AG441" s="1367">
        <v>4919</v>
      </c>
      <c r="AH441" s="1367"/>
      <c r="AI441" s="1367"/>
      <c r="AJ441" s="1367"/>
    </row>
    <row r="442" spans="4:36" ht="13.35" customHeight="1">
      <c r="D442" s="1335" t="s">
        <v>1266</v>
      </c>
      <c r="E442" s="1336"/>
      <c r="F442" s="1336"/>
      <c r="G442" s="1336"/>
      <c r="H442" s="1336"/>
      <c r="I442" s="1336"/>
      <c r="J442" s="1336"/>
      <c r="K442" s="1336"/>
      <c r="L442" s="1336"/>
      <c r="M442" s="1336"/>
      <c r="N442" s="1336"/>
      <c r="O442" s="1336"/>
      <c r="P442" s="1336"/>
      <c r="Q442" s="1336"/>
      <c r="R442" s="1336"/>
      <c r="S442" s="1336"/>
      <c r="T442" s="1336"/>
      <c r="U442" s="1336"/>
      <c r="V442" s="1336"/>
      <c r="W442" s="1336"/>
      <c r="X442" s="1336"/>
      <c r="Y442" s="1336"/>
      <c r="Z442" s="1336"/>
      <c r="AA442" s="1336"/>
      <c r="AB442" s="1336"/>
      <c r="AC442" s="1336"/>
      <c r="AD442" s="1336"/>
      <c r="AE442" s="1336"/>
      <c r="AF442" s="1337"/>
      <c r="AG442" s="1367">
        <v>13391</v>
      </c>
      <c r="AH442" s="1367"/>
      <c r="AI442" s="1367"/>
      <c r="AJ442" s="1367"/>
    </row>
    <row r="443" spans="4:36" ht="13.35" customHeight="1">
      <c r="D443" s="1335" t="s">
        <v>1267</v>
      </c>
      <c r="E443" s="1336"/>
      <c r="F443" s="1336"/>
      <c r="G443" s="1336"/>
      <c r="H443" s="1336"/>
      <c r="I443" s="1336"/>
      <c r="J443" s="1336"/>
      <c r="K443" s="1336"/>
      <c r="L443" s="1336"/>
      <c r="M443" s="1336"/>
      <c r="N443" s="1336"/>
      <c r="O443" s="1336"/>
      <c r="P443" s="1336"/>
      <c r="Q443" s="1336"/>
      <c r="R443" s="1336"/>
      <c r="S443" s="1336"/>
      <c r="T443" s="1336"/>
      <c r="U443" s="1336"/>
      <c r="V443" s="1336"/>
      <c r="W443" s="1336"/>
      <c r="X443" s="1336"/>
      <c r="Y443" s="1336"/>
      <c r="Z443" s="1336"/>
      <c r="AA443" s="1336"/>
      <c r="AB443" s="1336"/>
      <c r="AC443" s="1336"/>
      <c r="AD443" s="1336"/>
      <c r="AE443" s="1336"/>
      <c r="AF443" s="1337"/>
      <c r="AG443" s="1391">
        <f>AG435+AG439+AG441+AG442</f>
        <v>38735</v>
      </c>
      <c r="AH443" s="1391"/>
      <c r="AI443" s="1391"/>
      <c r="AJ443" s="1391"/>
    </row>
    <row r="444" spans="4:36" ht="13.35" customHeight="1">
      <c r="D444" s="1395" t="s">
        <v>1268</v>
      </c>
      <c r="E444" s="1395"/>
      <c r="F444" s="1395"/>
      <c r="G444" s="1395"/>
      <c r="H444" s="1395"/>
      <c r="I444" s="1395"/>
      <c r="J444" s="1395"/>
      <c r="K444" s="1395"/>
      <c r="L444" s="1395"/>
      <c r="M444" s="1395"/>
      <c r="N444" s="1395"/>
      <c r="O444" s="1395"/>
      <c r="P444" s="1395"/>
      <c r="Q444" s="1395"/>
      <c r="R444" s="1395"/>
      <c r="S444" s="1395"/>
      <c r="T444" s="1395"/>
      <c r="U444" s="1395"/>
      <c r="V444" s="1395"/>
      <c r="W444" s="1395"/>
      <c r="X444" s="1395"/>
      <c r="Y444" s="1395"/>
      <c r="Z444" s="1395"/>
      <c r="AA444" s="1395"/>
      <c r="AB444" s="1395"/>
      <c r="AC444" s="1395"/>
      <c r="AD444" s="1395"/>
      <c r="AE444" s="1395"/>
      <c r="AF444" s="1395"/>
      <c r="AG444" s="1395"/>
      <c r="AH444" s="1395"/>
      <c r="AI444" s="1395"/>
      <c r="AJ444" s="1395"/>
    </row>
    <row r="445" spans="4:36" ht="13.35" customHeight="1">
      <c r="D445" s="1396"/>
      <c r="E445" s="1396"/>
      <c r="F445" s="1396"/>
      <c r="G445" s="1396"/>
      <c r="H445" s="1396"/>
      <c r="I445" s="1396"/>
      <c r="J445" s="1396"/>
      <c r="K445" s="1396"/>
      <c r="L445" s="1396"/>
      <c r="M445" s="1396"/>
      <c r="N445" s="1396"/>
      <c r="O445" s="1396"/>
      <c r="P445" s="1396"/>
      <c r="Q445" s="1396"/>
      <c r="R445" s="1396"/>
      <c r="S445" s="1396"/>
      <c r="T445" s="1396"/>
      <c r="U445" s="1396"/>
      <c r="V445" s="1396"/>
      <c r="W445" s="1396"/>
      <c r="X445" s="1396"/>
      <c r="Y445" s="1396"/>
      <c r="Z445" s="1396"/>
      <c r="AA445" s="1396"/>
      <c r="AB445" s="1396"/>
      <c r="AC445" s="1396"/>
      <c r="AD445" s="1396"/>
      <c r="AE445" s="1396"/>
      <c r="AF445" s="1396"/>
      <c r="AG445" s="1396"/>
      <c r="AH445" s="1396"/>
      <c r="AI445" s="1396"/>
      <c r="AJ445" s="1396"/>
    </row>
    <row r="446" spans="4:36" ht="13.35" customHeight="1">
      <c r="D446" s="1364"/>
      <c r="E446" s="1364"/>
      <c r="F446" s="1364"/>
      <c r="G446" s="1364"/>
      <c r="H446" s="1364"/>
      <c r="I446" s="1364"/>
      <c r="J446" s="1364"/>
      <c r="K446" s="1364"/>
      <c r="L446" s="1364"/>
      <c r="M446" s="1364"/>
      <c r="N446" s="1364"/>
      <c r="O446" s="1364"/>
      <c r="P446" s="1364"/>
      <c r="Q446" s="1364"/>
      <c r="R446" s="1364"/>
      <c r="S446" s="1364"/>
      <c r="T446" s="1364"/>
      <c r="U446" s="1364"/>
      <c r="V446" s="1364"/>
      <c r="W446" s="1364"/>
      <c r="X446" s="1364"/>
      <c r="Y446" s="1364"/>
      <c r="Z446" s="1364"/>
      <c r="AA446" s="1364"/>
      <c r="AB446" s="1364"/>
      <c r="AC446" s="1364"/>
      <c r="AD446" s="1364"/>
      <c r="AE446" s="1364"/>
      <c r="AF446" s="1364"/>
      <c r="AG446" s="1364"/>
      <c r="AH446" s="1364"/>
      <c r="AI446" s="1364"/>
      <c r="AJ446" s="1364"/>
    </row>
    <row r="447" spans="4:36" ht="13.35" customHeight="1">
      <c r="D447" s="3" t="s">
        <v>1269</v>
      </c>
      <c r="E447" s="480"/>
      <c r="F447" s="480"/>
      <c r="G447" s="480"/>
      <c r="H447" s="480"/>
      <c r="I447" s="480"/>
      <c r="J447" s="480"/>
      <c r="K447" s="480"/>
      <c r="L447" s="480"/>
      <c r="M447" s="480"/>
      <c r="N447" s="480"/>
      <c r="O447" s="480"/>
      <c r="P447" s="480"/>
      <c r="Q447" s="480"/>
      <c r="R447" s="480"/>
      <c r="S447" s="480"/>
      <c r="T447" s="480"/>
      <c r="U447" s="480"/>
      <c r="V447" s="480"/>
      <c r="W447" s="480"/>
      <c r="X447" s="480"/>
      <c r="Y447" s="480"/>
      <c r="Z447" s="480"/>
      <c r="AA447" s="480"/>
      <c r="AB447" s="480"/>
      <c r="AC447" s="1370">
        <f>'Sources and Uses Budget'!B104/Application!AG430</f>
        <v>512022.72727272729</v>
      </c>
      <c r="AD447" s="1370"/>
      <c r="AE447" s="1370"/>
      <c r="AF447" s="1370"/>
      <c r="AG447" s="1362"/>
      <c r="AH447" s="1362"/>
      <c r="AI447" s="1362"/>
      <c r="AJ447" s="1362"/>
    </row>
    <row r="448" spans="4:36" ht="13.35" customHeight="1">
      <c r="D448" s="3" t="s">
        <v>1270</v>
      </c>
      <c r="E448" s="480"/>
      <c r="F448" s="480"/>
      <c r="G448" s="480"/>
      <c r="H448" s="480"/>
      <c r="I448" s="480"/>
      <c r="J448" s="480"/>
      <c r="K448" s="480"/>
      <c r="L448" s="480"/>
      <c r="M448" s="480"/>
      <c r="N448" s="480"/>
      <c r="O448" s="480"/>
      <c r="P448" s="480"/>
      <c r="Q448" s="480"/>
      <c r="R448" s="480"/>
      <c r="S448" s="480"/>
      <c r="T448" s="480"/>
      <c r="U448" s="480"/>
      <c r="V448" s="480"/>
      <c r="W448" s="480"/>
      <c r="X448" s="480"/>
      <c r="Y448" s="480"/>
      <c r="Z448" s="480"/>
      <c r="AA448" s="480"/>
      <c r="AB448" s="480"/>
      <c r="AC448" s="1370">
        <f>'Sources and Uses Budget'!C104/Application!AG430</f>
        <v>512022.72727272729</v>
      </c>
      <c r="AD448" s="1370"/>
      <c r="AE448" s="1370"/>
      <c r="AF448" s="1370"/>
      <c r="AG448" s="1362"/>
      <c r="AH448" s="1362"/>
      <c r="AI448" s="1362"/>
      <c r="AJ448" s="1362"/>
    </row>
    <row r="449" spans="1:38" ht="13.35" customHeight="1">
      <c r="D449" s="303" t="s">
        <v>1271</v>
      </c>
      <c r="E449" s="480"/>
      <c r="F449" s="480"/>
      <c r="G449" s="480"/>
      <c r="H449" s="480"/>
      <c r="I449" s="480"/>
      <c r="J449" s="480"/>
      <c r="K449" s="480"/>
      <c r="L449" s="480"/>
      <c r="M449" s="480"/>
      <c r="N449" s="480"/>
      <c r="O449" s="480"/>
      <c r="P449" s="480"/>
      <c r="Q449" s="480"/>
      <c r="R449" s="480"/>
      <c r="S449" s="480"/>
      <c r="T449" s="480"/>
      <c r="U449" s="480"/>
      <c r="V449" s="480"/>
      <c r="W449" s="480"/>
      <c r="X449" s="480"/>
      <c r="Y449" s="480"/>
      <c r="Z449" s="480"/>
      <c r="AA449" s="480"/>
      <c r="AB449" s="480"/>
      <c r="AC449" s="1370">
        <f>('Sources and Uses Budget'!S106+'Sources and Uses Budget'!T106)/Application!AG430</f>
        <v>450814.77272727271</v>
      </c>
      <c r="AD449" s="1370"/>
      <c r="AE449" s="1370"/>
      <c r="AF449" s="1370"/>
      <c r="AG449" s="878"/>
      <c r="AH449" s="878"/>
      <c r="AI449" s="878"/>
      <c r="AJ449" s="878"/>
    </row>
    <row r="450" spans="1:38" ht="13.35" customHeight="1">
      <c r="D450" s="480"/>
      <c r="E450" s="480"/>
      <c r="F450" s="480"/>
      <c r="G450" s="480"/>
      <c r="H450" s="480"/>
      <c r="I450" s="480"/>
      <c r="J450" s="480"/>
      <c r="K450" s="480"/>
      <c r="L450" s="480"/>
      <c r="M450" s="480"/>
      <c r="N450" s="480"/>
      <c r="O450" s="480"/>
      <c r="P450" s="480"/>
      <c r="Q450" s="480"/>
      <c r="R450" s="480"/>
      <c r="S450" s="480"/>
      <c r="T450" s="480"/>
      <c r="U450" s="480"/>
      <c r="V450" s="480"/>
      <c r="W450" s="480"/>
      <c r="X450" s="480"/>
      <c r="Y450" s="480"/>
      <c r="Z450" s="480"/>
      <c r="AA450" s="480"/>
      <c r="AB450" s="480"/>
      <c r="AC450" s="480"/>
      <c r="AD450" s="480"/>
      <c r="AE450" s="480"/>
      <c r="AF450" s="480"/>
      <c r="AG450" s="480"/>
      <c r="AH450" s="480"/>
      <c r="AI450" s="480"/>
    </row>
    <row r="451" spans="1:38" ht="13.35" customHeight="1">
      <c r="A451" s="3" t="s">
        <v>1272</v>
      </c>
      <c r="D451" s="3" t="s">
        <v>172</v>
      </c>
      <c r="E451" s="480"/>
      <c r="F451" s="480"/>
      <c r="G451" s="480"/>
      <c r="H451" s="480"/>
      <c r="I451" s="480"/>
      <c r="J451" s="480"/>
      <c r="K451" s="480"/>
      <c r="L451" s="480"/>
      <c r="M451" s="480"/>
      <c r="N451" s="480"/>
      <c r="O451" s="480"/>
      <c r="P451" s="480"/>
      <c r="Q451" s="480"/>
      <c r="R451" s="480"/>
      <c r="S451" s="480"/>
      <c r="T451" s="480"/>
      <c r="U451" s="480"/>
      <c r="V451" s="480"/>
      <c r="W451" s="480"/>
      <c r="X451" s="480"/>
      <c r="Y451" s="480"/>
      <c r="Z451" s="480"/>
      <c r="AA451" s="480"/>
      <c r="AB451" s="480"/>
      <c r="AC451" s="480"/>
      <c r="AD451" s="480"/>
      <c r="AE451" s="480"/>
      <c r="AF451" s="480"/>
      <c r="AG451" s="480"/>
      <c r="AH451" s="480"/>
      <c r="AI451" s="480"/>
    </row>
    <row r="452" spans="1:38" ht="13.35" customHeight="1">
      <c r="D452" s="264" t="s">
        <v>1273</v>
      </c>
      <c r="E452" s="480"/>
      <c r="F452" s="480"/>
      <c r="G452" s="480"/>
      <c r="H452" s="480"/>
      <c r="I452" s="480"/>
      <c r="J452" s="480"/>
      <c r="K452" s="480"/>
      <c r="L452" s="480"/>
      <c r="M452" s="480"/>
      <c r="N452" s="480"/>
      <c r="O452" s="480"/>
      <c r="P452" s="480"/>
      <c r="Q452" s="480"/>
      <c r="R452" s="480"/>
      <c r="S452" s="480"/>
      <c r="T452" s="480"/>
      <c r="U452" s="480"/>
      <c r="V452" s="480"/>
      <c r="W452" s="480"/>
      <c r="X452" s="480"/>
      <c r="Y452" s="480"/>
      <c r="Z452" s="480"/>
      <c r="AA452" s="480"/>
      <c r="AB452" s="480"/>
      <c r="AC452" s="480"/>
      <c r="AD452" s="480"/>
      <c r="AE452" s="480"/>
      <c r="AF452" s="480"/>
      <c r="AG452" s="480"/>
      <c r="AH452" s="480"/>
      <c r="AI452" s="480"/>
    </row>
    <row r="453" spans="1:38" ht="13.35" customHeight="1">
      <c r="D453" s="265" t="s">
        <v>1274</v>
      </c>
      <c r="E453" s="480"/>
      <c r="F453" s="480"/>
      <c r="G453" s="480"/>
      <c r="H453" s="480"/>
      <c r="I453" s="480"/>
      <c r="J453" s="480"/>
      <c r="K453" s="480"/>
      <c r="L453" s="480"/>
      <c r="M453" s="480"/>
      <c r="N453" s="480"/>
      <c r="O453" s="480"/>
      <c r="P453" s="480"/>
      <c r="Q453" s="480"/>
      <c r="R453" s="480"/>
      <c r="S453" s="480"/>
      <c r="T453" s="480"/>
      <c r="U453" s="480"/>
      <c r="V453" s="480"/>
      <c r="W453" s="480"/>
      <c r="X453" s="480"/>
      <c r="Y453" s="480"/>
      <c r="Z453" s="480"/>
      <c r="AA453" s="480"/>
      <c r="AB453" s="480"/>
      <c r="AC453" s="480"/>
      <c r="AD453" s="480"/>
      <c r="AE453" s="480"/>
      <c r="AF453" s="480"/>
      <c r="AG453" s="480"/>
      <c r="AH453" s="480"/>
      <c r="AI453" s="480"/>
    </row>
    <row r="454" spans="1:38" ht="13.35" customHeight="1">
      <c r="D454" s="264" t="s">
        <v>1275</v>
      </c>
      <c r="E454" s="480"/>
      <c r="F454" s="480"/>
      <c r="G454" s="480"/>
      <c r="H454" s="480"/>
      <c r="I454" s="480"/>
      <c r="J454" s="480"/>
      <c r="K454" s="480"/>
      <c r="L454" s="480"/>
      <c r="M454" s="480"/>
      <c r="N454" s="480"/>
      <c r="O454" s="480"/>
      <c r="P454" s="480"/>
      <c r="Q454" s="480"/>
      <c r="R454" s="480"/>
      <c r="S454" s="480"/>
      <c r="T454" s="480"/>
      <c r="U454" s="480"/>
      <c r="V454" s="480"/>
      <c r="W454" s="480"/>
      <c r="X454" s="480"/>
      <c r="Y454" s="480"/>
      <c r="Z454" s="480"/>
      <c r="AA454" s="480"/>
      <c r="AB454" s="480"/>
      <c r="AC454" s="480"/>
      <c r="AD454" s="480"/>
      <c r="AE454" s="480"/>
      <c r="AF454" s="480"/>
      <c r="AG454" s="480"/>
      <c r="AH454" s="480"/>
      <c r="AI454" s="480"/>
    </row>
    <row r="455" spans="1:38" ht="13.35" customHeight="1">
      <c r="D455" s="264" t="s">
        <v>1276</v>
      </c>
      <c r="E455" s="480"/>
      <c r="F455" s="480"/>
      <c r="G455" s="480"/>
      <c r="H455" s="480"/>
      <c r="I455" s="480"/>
      <c r="J455" s="480"/>
      <c r="K455" s="480"/>
      <c r="L455" s="480"/>
      <c r="M455" s="480"/>
      <c r="N455" s="480"/>
      <c r="O455" s="480"/>
      <c r="P455" s="480"/>
      <c r="Q455" s="480"/>
      <c r="R455" s="480"/>
      <c r="S455" s="480"/>
      <c r="T455" s="480"/>
      <c r="U455" s="480"/>
      <c r="V455" s="480"/>
      <c r="W455" s="480"/>
      <c r="X455" s="480"/>
      <c r="Y455" s="480"/>
      <c r="Z455" s="480"/>
      <c r="AA455" s="480"/>
      <c r="AB455" s="480"/>
      <c r="AC455" s="480"/>
      <c r="AD455" s="480"/>
      <c r="AE455" s="480"/>
      <c r="AF455" s="480"/>
      <c r="AG455" s="480"/>
      <c r="AH455" s="480"/>
      <c r="AI455" s="480"/>
    </row>
    <row r="456" spans="1:38" ht="13.35" customHeight="1">
      <c r="D456" s="480"/>
      <c r="E456" s="480"/>
      <c r="F456" s="480"/>
      <c r="G456" s="480"/>
      <c r="H456" s="480"/>
      <c r="I456" s="480"/>
      <c r="J456" s="480"/>
      <c r="K456" s="480"/>
      <c r="L456" s="480"/>
      <c r="M456" s="480"/>
      <c r="N456" s="480"/>
      <c r="O456" s="480"/>
      <c r="P456" s="480"/>
      <c r="Q456" s="480"/>
      <c r="R456" s="480"/>
      <c r="S456" s="480"/>
      <c r="T456" s="480"/>
      <c r="U456" s="480"/>
      <c r="V456" s="480"/>
      <c r="W456" s="480"/>
      <c r="X456" s="480"/>
      <c r="Y456" s="480"/>
      <c r="Z456" s="480"/>
      <c r="AA456" s="480"/>
      <c r="AB456" s="480"/>
      <c r="AC456" s="480"/>
      <c r="AD456" s="480"/>
      <c r="AE456" s="480"/>
      <c r="AF456" s="480"/>
      <c r="AG456" s="480"/>
      <c r="AH456" s="480"/>
      <c r="AI456" s="480"/>
    </row>
    <row r="457" spans="1:38" ht="13.35" customHeight="1">
      <c r="A457" s="37"/>
      <c r="B457" s="37"/>
      <c r="C457" s="37"/>
      <c r="D457" s="264" t="s">
        <v>1277</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3.35" customHeight="1">
      <c r="A458" s="37"/>
      <c r="B458" s="37"/>
      <c r="C458" s="37"/>
      <c r="D458" s="1353" t="s">
        <v>1278</v>
      </c>
      <c r="E458" s="1354"/>
      <c r="F458" s="1354"/>
      <c r="G458" s="1354"/>
      <c r="H458" s="1354"/>
      <c r="I458" s="1354"/>
      <c r="J458" s="1354"/>
      <c r="K458" s="1354"/>
      <c r="L458" s="1354"/>
      <c r="M458" s="1354"/>
      <c r="N458" s="1354"/>
      <c r="O458" s="1354"/>
      <c r="P458" s="1354"/>
      <c r="Q458" s="1354"/>
      <c r="R458" s="1354"/>
      <c r="S458" s="1354"/>
      <c r="T458" s="1354"/>
      <c r="U458" s="1354"/>
      <c r="V458" s="1355"/>
      <c r="W458" s="1328">
        <v>0</v>
      </c>
      <c r="X458" s="1329"/>
      <c r="Y458" s="1330"/>
      <c r="Z458" s="264"/>
      <c r="AA458" s="264"/>
      <c r="AB458" s="264"/>
      <c r="AC458" s="264"/>
      <c r="AD458" s="264"/>
      <c r="AE458" s="264"/>
      <c r="AF458" s="264"/>
      <c r="AG458" s="264"/>
      <c r="AH458" s="264"/>
      <c r="AI458" s="264"/>
      <c r="AJ458" s="37"/>
      <c r="AK458" s="37"/>
      <c r="AL458" s="37"/>
    </row>
    <row r="459" spans="1:38" ht="13.35" customHeight="1">
      <c r="A459" s="37"/>
      <c r="B459" s="37"/>
      <c r="C459" s="37"/>
      <c r="D459" s="1353" t="s">
        <v>1279</v>
      </c>
      <c r="E459" s="1354"/>
      <c r="F459" s="1354"/>
      <c r="G459" s="1354"/>
      <c r="H459" s="1354"/>
      <c r="I459" s="1354"/>
      <c r="J459" s="1354"/>
      <c r="K459" s="1354"/>
      <c r="L459" s="1354"/>
      <c r="M459" s="1354"/>
      <c r="N459" s="1354"/>
      <c r="O459" s="1354"/>
      <c r="P459" s="1354"/>
      <c r="Q459" s="1354"/>
      <c r="R459" s="1354"/>
      <c r="S459" s="1354"/>
      <c r="T459" s="1354"/>
      <c r="U459" s="1354"/>
      <c r="V459" s="1355"/>
      <c r="W459" s="1328">
        <v>0</v>
      </c>
      <c r="X459" s="1329"/>
      <c r="Y459" s="1330"/>
      <c r="Z459" s="264"/>
      <c r="AA459" s="264"/>
      <c r="AB459" s="264"/>
      <c r="AC459" s="264"/>
      <c r="AD459" s="264"/>
      <c r="AE459" s="264"/>
      <c r="AF459" s="264"/>
      <c r="AG459" s="264"/>
      <c r="AH459" s="264"/>
      <c r="AI459" s="264"/>
      <c r="AJ459" s="37"/>
      <c r="AK459" s="37"/>
      <c r="AL459" s="37"/>
    </row>
    <row r="460" spans="1:38" ht="13.35" customHeight="1">
      <c r="A460" s="37"/>
      <c r="B460" s="37"/>
      <c r="C460" s="37"/>
      <c r="D460" s="1353" t="s">
        <v>1280</v>
      </c>
      <c r="E460" s="1354"/>
      <c r="F460" s="1354"/>
      <c r="G460" s="1354"/>
      <c r="H460" s="1354"/>
      <c r="I460" s="1354"/>
      <c r="J460" s="1354"/>
      <c r="K460" s="1354"/>
      <c r="L460" s="1354"/>
      <c r="M460" s="1354"/>
      <c r="N460" s="1354"/>
      <c r="O460" s="1354"/>
      <c r="P460" s="1354"/>
      <c r="Q460" s="1354"/>
      <c r="R460" s="1354"/>
      <c r="S460" s="1354"/>
      <c r="T460" s="1354"/>
      <c r="U460" s="1354"/>
      <c r="V460" s="1355"/>
      <c r="W460" s="1328">
        <v>22</v>
      </c>
      <c r="X460" s="1329"/>
      <c r="Y460" s="1330"/>
      <c r="Z460" s="264"/>
      <c r="AA460" s="264"/>
      <c r="AB460" s="264"/>
      <c r="AC460" s="264"/>
      <c r="AD460" s="264"/>
      <c r="AE460" s="264"/>
      <c r="AF460" s="264"/>
      <c r="AG460" s="264"/>
      <c r="AH460" s="264"/>
      <c r="AI460" s="264"/>
      <c r="AJ460" s="37"/>
      <c r="AK460" s="37"/>
      <c r="AL460" s="37"/>
    </row>
    <row r="461" spans="1:38" ht="13.35" customHeight="1">
      <c r="A461" s="37"/>
      <c r="B461" s="37"/>
      <c r="C461" s="37"/>
      <c r="D461" s="1353" t="s">
        <v>1281</v>
      </c>
      <c r="E461" s="1354"/>
      <c r="F461" s="1354"/>
      <c r="G461" s="1354"/>
      <c r="H461" s="1354"/>
      <c r="I461" s="1354"/>
      <c r="J461" s="1354"/>
      <c r="K461" s="1354"/>
      <c r="L461" s="1354"/>
      <c r="M461" s="1354"/>
      <c r="N461" s="1354"/>
      <c r="O461" s="1354"/>
      <c r="P461" s="1354"/>
      <c r="Q461" s="1354"/>
      <c r="R461" s="1354"/>
      <c r="S461" s="1354"/>
      <c r="T461" s="1354"/>
      <c r="U461" s="1354"/>
      <c r="V461" s="1355"/>
      <c r="W461" s="1328">
        <v>0</v>
      </c>
      <c r="X461" s="1329"/>
      <c r="Y461" s="1330"/>
      <c r="Z461" s="264"/>
      <c r="AA461" s="264"/>
      <c r="AB461" s="264"/>
      <c r="AC461" s="264"/>
      <c r="AD461" s="264"/>
      <c r="AE461" s="264"/>
      <c r="AF461" s="264"/>
      <c r="AG461" s="264"/>
      <c r="AH461" s="264"/>
      <c r="AI461" s="264"/>
      <c r="AJ461" s="37"/>
      <c r="AK461" s="37"/>
      <c r="AL461" s="37"/>
    </row>
    <row r="462" spans="1:38" ht="13.35" customHeight="1">
      <c r="A462" s="37"/>
      <c r="B462" s="37"/>
      <c r="C462" s="37"/>
      <c r="D462" s="1353" t="s">
        <v>1282</v>
      </c>
      <c r="E462" s="1354"/>
      <c r="F462" s="1354"/>
      <c r="G462" s="1354"/>
      <c r="H462" s="1354"/>
      <c r="I462" s="1354"/>
      <c r="J462" s="1354"/>
      <c r="K462" s="1354"/>
      <c r="L462" s="1354"/>
      <c r="M462" s="1354"/>
      <c r="N462" s="1354"/>
      <c r="O462" s="1354"/>
      <c r="P462" s="1354"/>
      <c r="Q462" s="1354"/>
      <c r="R462" s="1354"/>
      <c r="S462" s="1354"/>
      <c r="T462" s="1354"/>
      <c r="U462" s="1354"/>
      <c r="V462" s="1355"/>
      <c r="W462" s="1328">
        <v>0</v>
      </c>
      <c r="X462" s="1329"/>
      <c r="Y462" s="1330"/>
      <c r="Z462" s="264"/>
      <c r="AA462" s="264"/>
      <c r="AB462" s="264"/>
      <c r="AC462" s="264"/>
      <c r="AD462" s="264"/>
      <c r="AE462" s="264"/>
      <c r="AF462" s="264"/>
      <c r="AG462" s="264"/>
      <c r="AH462" s="264"/>
      <c r="AI462" s="264"/>
      <c r="AJ462" s="37"/>
      <c r="AK462" s="37"/>
      <c r="AL462" s="37"/>
    </row>
    <row r="463" spans="1:38" ht="13.35" customHeight="1">
      <c r="A463" s="37"/>
      <c r="B463" s="37"/>
      <c r="C463" s="37"/>
      <c r="D463" s="1353" t="s">
        <v>1283</v>
      </c>
      <c r="E463" s="1354"/>
      <c r="F463" s="1354"/>
      <c r="G463" s="1354"/>
      <c r="H463" s="1354"/>
      <c r="I463" s="1354"/>
      <c r="J463" s="1354"/>
      <c r="K463" s="1354"/>
      <c r="L463" s="1354"/>
      <c r="M463" s="1354"/>
      <c r="N463" s="1354"/>
      <c r="O463" s="1354"/>
      <c r="P463" s="1354"/>
      <c r="Q463" s="1354"/>
      <c r="R463" s="1354"/>
      <c r="S463" s="1354"/>
      <c r="T463" s="1354"/>
      <c r="U463" s="1354"/>
      <c r="V463" s="1355"/>
      <c r="W463" s="1328">
        <v>0</v>
      </c>
      <c r="X463" s="1329"/>
      <c r="Y463" s="1330"/>
      <c r="Z463" s="264"/>
      <c r="AA463" s="264"/>
      <c r="AB463" s="264"/>
      <c r="AC463" s="264"/>
      <c r="AD463" s="264"/>
      <c r="AE463" s="264"/>
      <c r="AF463" s="264"/>
      <c r="AG463" s="264"/>
      <c r="AH463" s="264"/>
      <c r="AI463" s="264"/>
      <c r="AJ463" s="37"/>
      <c r="AK463" s="37"/>
      <c r="AL463" s="37"/>
    </row>
    <row r="464" spans="1:38" ht="13.35" customHeight="1">
      <c r="A464" s="37"/>
      <c r="B464" s="37"/>
      <c r="C464" s="37"/>
      <c r="D464" s="1353" t="s">
        <v>1284</v>
      </c>
      <c r="E464" s="1354"/>
      <c r="F464" s="1354"/>
      <c r="G464" s="1354"/>
      <c r="H464" s="1354"/>
      <c r="I464" s="1354"/>
      <c r="J464" s="1354"/>
      <c r="K464" s="1354"/>
      <c r="L464" s="1354"/>
      <c r="M464" s="1354"/>
      <c r="N464" s="1354"/>
      <c r="O464" s="1354"/>
      <c r="P464" s="1354"/>
      <c r="Q464" s="1354"/>
      <c r="R464" s="1354"/>
      <c r="S464" s="1354"/>
      <c r="T464" s="1354"/>
      <c r="U464" s="1354"/>
      <c r="V464" s="1355"/>
      <c r="W464" s="1328">
        <v>0</v>
      </c>
      <c r="X464" s="1329"/>
      <c r="Y464" s="1330"/>
      <c r="Z464" s="264"/>
      <c r="AA464" s="264"/>
      <c r="AB464" s="264"/>
      <c r="AC464" s="264"/>
      <c r="AD464" s="480"/>
      <c r="AE464" s="480"/>
      <c r="AF464" s="480"/>
      <c r="AG464" s="480"/>
      <c r="AH464" s="480"/>
      <c r="AI464" s="480"/>
      <c r="AJ464" s="878"/>
    </row>
    <row r="465" spans="1:97" ht="13.35" customHeight="1">
      <c r="A465" s="37"/>
      <c r="B465" s="37"/>
      <c r="C465" s="37"/>
      <c r="D465" s="879" t="s">
        <v>1233</v>
      </c>
      <c r="E465" s="344"/>
      <c r="F465" s="345"/>
      <c r="G465" s="1410" t="s">
        <v>2525</v>
      </c>
      <c r="H465" s="1411"/>
      <c r="I465" s="1411"/>
      <c r="J465" s="1411"/>
      <c r="K465" s="1411"/>
      <c r="L465" s="1411"/>
      <c r="M465" s="1411"/>
      <c r="N465" s="1411"/>
      <c r="O465" s="1411"/>
      <c r="P465" s="1411"/>
      <c r="Q465" s="1411"/>
      <c r="R465" s="1411"/>
      <c r="S465" s="1411"/>
      <c r="T465" s="1411"/>
      <c r="U465" s="1411"/>
      <c r="V465" s="1412"/>
      <c r="W465" s="1328">
        <v>21</v>
      </c>
      <c r="X465" s="1329"/>
      <c r="Y465" s="1330"/>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3.35" customHeight="1">
      <c r="A466" s="37"/>
      <c r="B466" s="37"/>
      <c r="C466" s="37"/>
      <c r="D466" s="364" t="s">
        <v>1285</v>
      </c>
      <c r="E466" s="346"/>
      <c r="F466" s="346"/>
      <c r="G466" s="264"/>
      <c r="H466" s="264"/>
      <c r="I466" s="264"/>
      <c r="J466" s="264"/>
      <c r="K466" s="264"/>
      <c r="L466" s="264"/>
      <c r="M466" s="264"/>
      <c r="N466" s="264"/>
      <c r="O466" s="264"/>
      <c r="P466" s="264"/>
      <c r="Q466" s="264"/>
      <c r="R466" s="264"/>
      <c r="S466" s="264"/>
      <c r="T466" s="264"/>
      <c r="U466" s="264"/>
      <c r="V466" s="264"/>
      <c r="W466" s="341"/>
      <c r="X466" s="341"/>
      <c r="Y466" s="342"/>
      <c r="Z466" s="264"/>
      <c r="AA466" s="264"/>
      <c r="AB466" s="264"/>
      <c r="AC466" s="264"/>
      <c r="AD466" s="264"/>
      <c r="AE466" s="264"/>
      <c r="AF466" s="264"/>
      <c r="AG466" s="264"/>
      <c r="AH466" s="264"/>
      <c r="AI466" s="264"/>
      <c r="AJ466" s="37"/>
      <c r="AK466" s="37"/>
      <c r="AL466" s="37"/>
    </row>
    <row r="467" spans="1:97" ht="13.35" customHeight="1">
      <c r="A467" s="37"/>
      <c r="B467" s="37"/>
      <c r="C467" s="37"/>
      <c r="D467" s="861" t="s">
        <v>1286</v>
      </c>
      <c r="E467" s="347"/>
      <c r="F467" s="347"/>
      <c r="G467" s="347"/>
      <c r="H467" s="347"/>
      <c r="I467" s="347"/>
      <c r="J467" s="347"/>
      <c r="K467" s="347"/>
      <c r="L467" s="347"/>
      <c r="M467" s="347"/>
      <c r="N467" s="347"/>
      <c r="O467" s="347"/>
      <c r="P467" s="347"/>
      <c r="Q467" s="347"/>
      <c r="R467" s="347"/>
      <c r="S467" s="347"/>
      <c r="T467" s="347"/>
      <c r="U467" s="347"/>
      <c r="V467" s="347"/>
      <c r="W467" s="348"/>
      <c r="X467" s="348"/>
      <c r="Y467" s="349"/>
      <c r="Z467" s="264"/>
      <c r="AA467" s="264"/>
      <c r="AB467" s="264"/>
      <c r="AC467" s="264"/>
      <c r="AD467" s="264"/>
      <c r="AE467" s="264"/>
      <c r="AF467" s="264"/>
      <c r="AG467" s="264"/>
      <c r="AH467" s="264"/>
      <c r="AI467" s="264"/>
      <c r="AJ467" s="37"/>
      <c r="AK467" s="37"/>
      <c r="AL467" s="37"/>
    </row>
    <row r="468" spans="1:97" ht="13.35" customHeight="1">
      <c r="A468" s="37"/>
      <c r="B468" s="37"/>
      <c r="C468" s="37"/>
      <c r="D468" s="861" t="s">
        <v>2524</v>
      </c>
      <c r="E468" s="347"/>
      <c r="F468" s="347"/>
      <c r="G468" s="347"/>
      <c r="H468" s="347"/>
      <c r="I468" s="347"/>
      <c r="J468" s="347"/>
      <c r="K468" s="347"/>
      <c r="L468" s="347"/>
      <c r="M468" s="347"/>
      <c r="N468" s="347"/>
      <c r="O468" s="347"/>
      <c r="P468" s="347"/>
      <c r="Q468" s="347"/>
      <c r="R468" s="347"/>
      <c r="S468" s="347"/>
      <c r="T468" s="347"/>
      <c r="U468" s="347"/>
      <c r="V468" s="347"/>
      <c r="W468" s="348"/>
      <c r="X468" s="348"/>
      <c r="Y468" s="349"/>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35" customHeight="1">
      <c r="A469" s="37"/>
      <c r="B469" s="37"/>
      <c r="C469" s="37"/>
      <c r="D469" s="1393" t="s">
        <v>1287</v>
      </c>
      <c r="E469" s="1394"/>
      <c r="F469" s="1394"/>
      <c r="G469" s="1394"/>
      <c r="H469" s="1394"/>
      <c r="I469" s="1394"/>
      <c r="J469" s="1394"/>
      <c r="K469" s="1394"/>
      <c r="L469" s="1394"/>
      <c r="M469" s="1394"/>
      <c r="N469" s="1394"/>
      <c r="O469" s="1394"/>
      <c r="P469" s="1394"/>
      <c r="Q469" s="1394"/>
      <c r="R469" s="1394"/>
      <c r="S469" s="1394"/>
      <c r="T469" s="1394"/>
      <c r="U469" s="1394"/>
      <c r="V469" s="1394"/>
      <c r="W469" s="1407"/>
      <c r="X469" s="1407"/>
      <c r="Y469" s="1408"/>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3.35" customHeight="1">
      <c r="A470" s="37"/>
      <c r="B470" s="37"/>
      <c r="C470" s="37"/>
      <c r="D470" s="1353" t="s">
        <v>1288</v>
      </c>
      <c r="E470" s="1354"/>
      <c r="F470" s="1354"/>
      <c r="G470" s="1354"/>
      <c r="H470" s="1354"/>
      <c r="I470" s="1354"/>
      <c r="J470" s="1354"/>
      <c r="K470" s="1354"/>
      <c r="L470" s="1354"/>
      <c r="M470" s="1354"/>
      <c r="N470" s="1354"/>
      <c r="O470" s="1354"/>
      <c r="P470" s="1354"/>
      <c r="Q470" s="1354"/>
      <c r="R470" s="1354"/>
      <c r="S470" s="1354"/>
      <c r="T470" s="1354"/>
      <c r="U470" s="1354"/>
      <c r="V470" s="1355"/>
      <c r="W470" s="1328" t="s">
        <v>325</v>
      </c>
      <c r="X470" s="1329"/>
      <c r="Y470" s="1330"/>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3.35" customHeight="1">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3.35" customHeight="1">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3.35" customHeight="1">
      <c r="A473" s="1229" t="s">
        <v>1289</v>
      </c>
      <c r="B473" s="1229"/>
      <c r="C473" s="1229"/>
      <c r="D473" s="1229"/>
      <c r="E473" s="1229"/>
      <c r="F473" s="1229"/>
      <c r="G473" s="1229"/>
      <c r="H473" s="1229"/>
      <c r="I473" s="1229"/>
      <c r="J473" s="1229"/>
      <c r="K473" s="1229"/>
      <c r="L473" s="1229"/>
      <c r="M473" s="1229"/>
      <c r="N473" s="1229"/>
      <c r="O473" s="1229"/>
      <c r="P473" s="1229"/>
      <c r="Q473" s="1229"/>
      <c r="R473" s="1229"/>
      <c r="S473" s="1229"/>
      <c r="T473" s="1229"/>
      <c r="U473" s="1229"/>
      <c r="V473" s="1229"/>
      <c r="W473" s="1229"/>
      <c r="X473" s="1229"/>
      <c r="Y473" s="1229"/>
      <c r="Z473" s="1229"/>
      <c r="AA473" s="1229"/>
      <c r="AB473" s="1229"/>
      <c r="AC473" s="1229"/>
      <c r="AD473" s="1229"/>
      <c r="AE473" s="1229"/>
      <c r="AF473" s="1229"/>
      <c r="AG473" s="1229"/>
      <c r="AH473" s="1229"/>
      <c r="AI473" s="1229"/>
      <c r="AJ473" s="1229"/>
      <c r="AK473" s="1229"/>
      <c r="AL473" s="1229"/>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35" customHeight="1" thickBot="1">
      <c r="A474" s="1230"/>
      <c r="B474" s="1230"/>
      <c r="C474" s="1230"/>
      <c r="D474" s="1230"/>
      <c r="E474" s="1230"/>
      <c r="F474" s="1230"/>
      <c r="G474" s="1230"/>
      <c r="H474" s="1230"/>
      <c r="I474" s="1230"/>
      <c r="J474" s="1230"/>
      <c r="K474" s="1230"/>
      <c r="L474" s="1230"/>
      <c r="M474" s="1230"/>
      <c r="N474" s="1230"/>
      <c r="O474" s="1230"/>
      <c r="P474" s="1230"/>
      <c r="Q474" s="1230"/>
      <c r="R474" s="1230"/>
      <c r="S474" s="1230"/>
      <c r="T474" s="1230"/>
      <c r="U474" s="1230"/>
      <c r="V474" s="1230"/>
      <c r="W474" s="1230"/>
      <c r="X474" s="1230"/>
      <c r="Y474" s="1230"/>
      <c r="Z474" s="1230"/>
      <c r="AA474" s="1230"/>
      <c r="AB474" s="1230"/>
      <c r="AC474" s="1230"/>
      <c r="AD474" s="1230"/>
      <c r="AE474" s="1230"/>
      <c r="AF474" s="1230"/>
      <c r="AG474" s="1230"/>
      <c r="AH474" s="1230"/>
      <c r="AI474" s="1230"/>
      <c r="AJ474" s="1230"/>
      <c r="AK474" s="1230"/>
      <c r="AL474" s="1230"/>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35" customHeight="1"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35" customHeight="1">
      <c r="A476" s="3" t="s">
        <v>854</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35" customHeight="1">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35" customHeight="1">
      <c r="B478" s="8"/>
      <c r="C478" s="9"/>
      <c r="D478" s="9"/>
      <c r="E478" s="9"/>
      <c r="F478" s="9"/>
      <c r="G478" s="9"/>
      <c r="H478" s="9"/>
      <c r="I478" s="9"/>
      <c r="J478" s="9"/>
      <c r="K478" s="9"/>
      <c r="L478" s="9"/>
      <c r="M478" s="9"/>
      <c r="N478" s="9"/>
      <c r="O478" s="9"/>
      <c r="P478" s="45"/>
      <c r="Q478" s="1332" t="s">
        <v>1290</v>
      </c>
      <c r="R478" s="1333"/>
      <c r="S478" s="1333"/>
      <c r="T478" s="1333"/>
      <c r="U478" s="1333"/>
      <c r="V478" s="1333"/>
      <c r="W478" s="1333"/>
      <c r="X478" s="1333"/>
      <c r="Y478" s="1333"/>
      <c r="Z478" s="1333"/>
      <c r="AA478" s="1333"/>
      <c r="AB478" s="1333"/>
      <c r="AC478" s="1333"/>
      <c r="AD478" s="1333"/>
      <c r="AE478" s="1333"/>
      <c r="AF478" s="1333"/>
      <c r="AG478" s="1333"/>
      <c r="AH478" s="1333"/>
      <c r="AI478" s="1333"/>
      <c r="AJ478" s="1333"/>
      <c r="AK478" s="1334"/>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3.35" customHeight="1">
      <c r="B479" s="8" t="s">
        <v>1291</v>
      </c>
      <c r="C479" s="9"/>
      <c r="D479" s="9"/>
      <c r="E479" s="9"/>
      <c r="F479" s="9"/>
      <c r="G479" s="9"/>
      <c r="H479" s="9"/>
      <c r="I479" s="9"/>
      <c r="J479" s="9"/>
      <c r="K479" s="9"/>
      <c r="L479" s="9"/>
      <c r="M479" s="9"/>
      <c r="N479" s="9"/>
      <c r="O479" s="9"/>
      <c r="P479" s="9"/>
      <c r="Q479" s="1120" t="s">
        <v>1292</v>
      </c>
      <c r="R479" s="1045"/>
      <c r="S479" s="1045"/>
      <c r="T479" s="1045"/>
      <c r="U479" s="1045"/>
      <c r="V479" s="1045"/>
      <c r="W479" s="1045"/>
      <c r="X479" s="1045"/>
      <c r="Y479" s="1045"/>
      <c r="Z479" s="1045"/>
      <c r="AA479" s="1045"/>
      <c r="AB479" s="1045"/>
      <c r="AC479" s="1045"/>
      <c r="AD479" s="1045"/>
      <c r="AE479" s="1045"/>
      <c r="AF479" s="1045"/>
      <c r="AG479" s="1045"/>
      <c r="AH479" s="1045"/>
      <c r="AI479" s="1045"/>
      <c r="AJ479" s="1045"/>
      <c r="AK479" s="1121"/>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35" customHeight="1">
      <c r="B480" s="8" t="s">
        <v>1293</v>
      </c>
      <c r="C480" s="9"/>
      <c r="D480" s="9"/>
      <c r="E480" s="9"/>
      <c r="F480" s="9"/>
      <c r="G480" s="9"/>
      <c r="H480" s="9"/>
      <c r="I480" s="9"/>
      <c r="J480" s="9"/>
      <c r="K480" s="9"/>
      <c r="L480" s="9"/>
      <c r="M480" s="9"/>
      <c r="N480" s="9"/>
      <c r="O480" s="9"/>
      <c r="P480" s="9"/>
      <c r="Q480" s="1366" t="s">
        <v>2526</v>
      </c>
      <c r="R480" s="1045"/>
      <c r="S480" s="1045"/>
      <c r="T480" s="1045"/>
      <c r="U480" s="1045"/>
      <c r="V480" s="1045"/>
      <c r="W480" s="1045"/>
      <c r="X480" s="1045"/>
      <c r="Y480" s="1045"/>
      <c r="Z480" s="1045"/>
      <c r="AA480" s="1045"/>
      <c r="AB480" s="1045"/>
      <c r="AC480" s="1045"/>
      <c r="AD480" s="1045"/>
      <c r="AE480" s="1045"/>
      <c r="AF480" s="1045"/>
      <c r="AG480" s="1045"/>
      <c r="AH480" s="1045"/>
      <c r="AI480" s="1045"/>
      <c r="AJ480" s="1045"/>
      <c r="AK480" s="1121"/>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35" customHeight="1">
      <c r="B481" s="8" t="s">
        <v>1294</v>
      </c>
      <c r="C481" s="9"/>
      <c r="D481" s="9"/>
      <c r="E481" s="9"/>
      <c r="F481" s="9"/>
      <c r="G481" s="9"/>
      <c r="H481" s="9"/>
      <c r="I481" s="9"/>
      <c r="J481" s="9"/>
      <c r="K481" s="9"/>
      <c r="L481" s="9"/>
      <c r="M481" s="9"/>
      <c r="N481" s="9"/>
      <c r="O481" s="9"/>
      <c r="P481" s="9"/>
      <c r="Q481" s="1366" t="s">
        <v>2527</v>
      </c>
      <c r="R481" s="1045"/>
      <c r="S481" s="1045"/>
      <c r="T481" s="1045"/>
      <c r="U481" s="1045"/>
      <c r="V481" s="1045"/>
      <c r="W481" s="1045"/>
      <c r="X481" s="1045"/>
      <c r="Y481" s="1045"/>
      <c r="Z481" s="1045"/>
      <c r="AA481" s="1045"/>
      <c r="AB481" s="1045"/>
      <c r="AC481" s="1045"/>
      <c r="AD481" s="1045"/>
      <c r="AE481" s="1045"/>
      <c r="AF481" s="1045"/>
      <c r="AG481" s="1045"/>
      <c r="AH481" s="1045"/>
      <c r="AI481" s="1045"/>
      <c r="AJ481" s="1045"/>
      <c r="AK481" s="1121"/>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35" customHeight="1">
      <c r="B482" s="1356" t="s">
        <v>1295</v>
      </c>
      <c r="C482" s="1357"/>
      <c r="D482" s="1357"/>
      <c r="E482" s="1357"/>
      <c r="F482" s="1357"/>
      <c r="G482" s="1357"/>
      <c r="H482" s="1357"/>
      <c r="I482" s="1357"/>
      <c r="J482" s="1357"/>
      <c r="K482" s="1357"/>
      <c r="L482" s="1357"/>
      <c r="M482" s="1357"/>
      <c r="N482" s="1357"/>
      <c r="O482" s="1357"/>
      <c r="P482" s="1358"/>
      <c r="Q482" s="1418" t="s">
        <v>826</v>
      </c>
      <c r="R482" s="1419"/>
      <c r="S482" s="1422" t="s">
        <v>2528</v>
      </c>
      <c r="T482" s="1423"/>
      <c r="U482" s="1423"/>
      <c r="V482" s="1423"/>
      <c r="W482" s="1423"/>
      <c r="X482" s="1423"/>
      <c r="Y482" s="1423"/>
      <c r="Z482" s="1423"/>
      <c r="AA482" s="1423"/>
      <c r="AB482" s="1423"/>
      <c r="AC482" s="1423"/>
      <c r="AD482" s="1423"/>
      <c r="AE482" s="1423"/>
      <c r="AF482" s="1423"/>
      <c r="AG482" s="1423"/>
      <c r="AH482" s="1423"/>
      <c r="AI482" s="1423"/>
      <c r="AJ482" s="1423"/>
      <c r="AK482" s="1424"/>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35" customHeight="1">
      <c r="B483" s="1359"/>
      <c r="C483" s="1360"/>
      <c r="D483" s="1360"/>
      <c r="E483" s="1360"/>
      <c r="F483" s="1360"/>
      <c r="G483" s="1360"/>
      <c r="H483" s="1360"/>
      <c r="I483" s="1360"/>
      <c r="J483" s="1360"/>
      <c r="K483" s="1360"/>
      <c r="L483" s="1360"/>
      <c r="M483" s="1360"/>
      <c r="N483" s="1360"/>
      <c r="O483" s="1360"/>
      <c r="P483" s="1361"/>
      <c r="Q483" s="1420"/>
      <c r="R483" s="1421"/>
      <c r="S483" s="1425"/>
      <c r="T483" s="1426"/>
      <c r="U483" s="1426"/>
      <c r="V483" s="1426"/>
      <c r="W483" s="1426"/>
      <c r="X483" s="1426"/>
      <c r="Y483" s="1426"/>
      <c r="Z483" s="1426"/>
      <c r="AA483" s="1426"/>
      <c r="AB483" s="1426"/>
      <c r="AC483" s="1426"/>
      <c r="AD483" s="1426"/>
      <c r="AE483" s="1426"/>
      <c r="AF483" s="1426"/>
      <c r="AG483" s="1426"/>
      <c r="AH483" s="1426"/>
      <c r="AI483" s="1426"/>
      <c r="AJ483" s="1426"/>
      <c r="AK483" s="142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35" customHeight="1">
      <c r="B484" s="741" t="s">
        <v>1296</v>
      </c>
      <c r="C484" s="722"/>
      <c r="D484" s="722"/>
      <c r="E484" s="722"/>
      <c r="F484" s="722"/>
      <c r="G484" s="722"/>
      <c r="H484" s="722"/>
      <c r="I484" s="722"/>
      <c r="J484" s="722"/>
      <c r="K484" s="722"/>
      <c r="L484" s="722"/>
      <c r="M484" s="722"/>
      <c r="N484" s="722"/>
      <c r="O484" s="722"/>
      <c r="P484" s="722"/>
      <c r="Q484" s="1428" t="s">
        <v>712</v>
      </c>
      <c r="R484" s="1429"/>
      <c r="S484" s="1429"/>
      <c r="T484" s="1429"/>
      <c r="U484" s="1429"/>
      <c r="V484" s="1429"/>
      <c r="W484" s="1429"/>
      <c r="X484" s="1429"/>
      <c r="Y484" s="1429"/>
      <c r="Z484" s="1429"/>
      <c r="AA484" s="1429"/>
      <c r="AB484" s="1429"/>
      <c r="AC484" s="1429"/>
      <c r="AD484" s="1429"/>
      <c r="AE484" s="1429"/>
      <c r="AF484" s="1429"/>
      <c r="AG484" s="1429"/>
      <c r="AH484" s="1429"/>
      <c r="AI484" s="1429"/>
      <c r="AJ484" s="1429"/>
      <c r="AK484" s="1430"/>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35" customHeight="1">
      <c r="B485" s="8" t="s">
        <v>1297</v>
      </c>
      <c r="C485" s="9"/>
      <c r="D485" s="9"/>
      <c r="E485" s="9"/>
      <c r="F485" s="9"/>
      <c r="G485" s="9"/>
      <c r="H485" s="9"/>
      <c r="I485" s="9"/>
      <c r="J485" s="9"/>
      <c r="K485" s="9"/>
      <c r="L485" s="9"/>
      <c r="M485" s="9"/>
      <c r="N485" s="9"/>
      <c r="O485" s="9"/>
      <c r="P485" s="9"/>
      <c r="Q485" s="1120" t="s">
        <v>1298</v>
      </c>
      <c r="R485" s="1045"/>
      <c r="S485" s="1045"/>
      <c r="T485" s="1045"/>
      <c r="U485" s="1045"/>
      <c r="V485" s="1045"/>
      <c r="W485" s="1045"/>
      <c r="X485" s="1045"/>
      <c r="Y485" s="1045"/>
      <c r="Z485" s="1045"/>
      <c r="AA485" s="1045"/>
      <c r="AB485" s="1045"/>
      <c r="AC485" s="1045"/>
      <c r="AD485" s="1045"/>
      <c r="AE485" s="1045"/>
      <c r="AF485" s="1045"/>
      <c r="AG485" s="1045"/>
      <c r="AH485" s="1045"/>
      <c r="AI485" s="1045"/>
      <c r="AJ485" s="1045"/>
      <c r="AK485" s="1121"/>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35" customHeight="1">
      <c r="B486" s="8" t="s">
        <v>1299</v>
      </c>
      <c r="C486" s="9"/>
      <c r="D486" s="9"/>
      <c r="E486" s="9"/>
      <c r="F486" s="9"/>
      <c r="G486" s="9"/>
      <c r="H486" s="9"/>
      <c r="I486" s="9"/>
      <c r="J486" s="9"/>
      <c r="K486" s="9"/>
      <c r="L486" s="9"/>
      <c r="M486" s="9"/>
      <c r="N486" s="9"/>
      <c r="O486" s="9"/>
      <c r="P486" s="9"/>
      <c r="Q486" s="1120" t="s">
        <v>1300</v>
      </c>
      <c r="R486" s="1045"/>
      <c r="S486" s="1045"/>
      <c r="T486" s="1045"/>
      <c r="U486" s="1045"/>
      <c r="V486" s="1045"/>
      <c r="W486" s="1045"/>
      <c r="X486" s="1045"/>
      <c r="Y486" s="1045"/>
      <c r="Z486" s="1045"/>
      <c r="AA486" s="1045"/>
      <c r="AB486" s="1045"/>
      <c r="AC486" s="1045"/>
      <c r="AD486" s="1045"/>
      <c r="AE486" s="1045"/>
      <c r="AF486" s="1045"/>
      <c r="AG486" s="1045"/>
      <c r="AH486" s="1045"/>
      <c r="AI486" s="1045"/>
      <c r="AJ486" s="1045"/>
      <c r="AK486" s="1121"/>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35" customHeight="1">
      <c r="B487" s="180" t="s">
        <v>1301</v>
      </c>
      <c r="C487" s="9"/>
      <c r="D487" s="9"/>
      <c r="E487" s="9"/>
      <c r="F487" s="9"/>
      <c r="G487" s="9"/>
      <c r="H487" s="9"/>
      <c r="I487" s="9"/>
      <c r="J487" s="9"/>
      <c r="K487" s="9"/>
      <c r="L487" s="9"/>
      <c r="M487" s="9"/>
      <c r="N487" s="9"/>
      <c r="O487" s="9"/>
      <c r="P487" s="9"/>
      <c r="Q487" s="1120">
        <v>21</v>
      </c>
      <c r="R487" s="1045"/>
      <c r="S487" s="1045"/>
      <c r="T487" s="1045"/>
      <c r="U487" s="1045"/>
      <c r="V487" s="1045"/>
      <c r="W487" s="1045"/>
      <c r="X487" s="1045"/>
      <c r="Y487" s="1045"/>
      <c r="Z487" s="1045"/>
      <c r="AA487" s="1045"/>
      <c r="AB487" s="1045"/>
      <c r="AC487" s="1045"/>
      <c r="AD487" s="1045"/>
      <c r="AE487" s="1045"/>
      <c r="AF487" s="1045"/>
      <c r="AG487" s="1045"/>
      <c r="AH487" s="1045"/>
      <c r="AI487" s="1045"/>
      <c r="AJ487" s="1045"/>
      <c r="AK487" s="1121"/>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35" customHeight="1">
      <c r="B488" s="180" t="s">
        <v>1302</v>
      </c>
      <c r="C488" s="9"/>
      <c r="D488" s="9"/>
      <c r="E488" s="9"/>
      <c r="F488" s="9"/>
      <c r="G488" s="9"/>
      <c r="H488" s="9"/>
      <c r="I488" s="9"/>
      <c r="J488" s="9"/>
      <c r="K488" s="9"/>
      <c r="L488" s="9"/>
      <c r="M488" s="1009">
        <v>21</v>
      </c>
      <c r="N488" s="1010"/>
      <c r="O488" s="1010"/>
      <c r="P488" s="1011"/>
      <c r="Q488" s="180" t="s">
        <v>1303</v>
      </c>
      <c r="R488" s="9"/>
      <c r="S488" s="9"/>
      <c r="T488" s="9"/>
      <c r="U488" s="9"/>
      <c r="V488" s="9"/>
      <c r="W488" s="9"/>
      <c r="X488" s="9"/>
      <c r="Y488" s="9"/>
      <c r="Z488" s="9"/>
      <c r="AA488" s="9"/>
      <c r="AB488" s="9"/>
      <c r="AC488" s="9"/>
      <c r="AD488" s="9"/>
      <c r="AE488" s="9"/>
      <c r="AF488" s="9"/>
      <c r="AG488" s="9"/>
      <c r="AH488" s="1009">
        <v>0</v>
      </c>
      <c r="AI488" s="1010"/>
      <c r="AJ488" s="1010"/>
      <c r="AK488" s="1011"/>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3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35" customHeight="1">
      <c r="A490" s="3" t="s">
        <v>889</v>
      </c>
      <c r="C490" s="3" t="s">
        <v>177</v>
      </c>
      <c r="Q490" s="12"/>
      <c r="R490" s="12"/>
      <c r="S490" s="12"/>
      <c r="T490" s="12"/>
      <c r="U490" s="12"/>
      <c r="V490" s="12"/>
      <c r="W490" s="12"/>
      <c r="X490" s="12"/>
      <c r="Y490" s="12"/>
      <c r="Z490" s="12"/>
      <c r="AA490" s="12"/>
      <c r="AB490" s="12"/>
      <c r="AC490" s="12"/>
      <c r="AD490" s="12"/>
      <c r="AE490" s="12"/>
      <c r="AF490" s="12"/>
      <c r="AG490" s="12"/>
      <c r="AH490" s="12"/>
      <c r="AI490" s="12"/>
      <c r="AJ490" s="12"/>
      <c r="AK490" s="12"/>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3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35" customHeight="1">
      <c r="B492" s="6"/>
      <c r="C492" s="7"/>
      <c r="D492" s="176"/>
      <c r="E492" s="7"/>
      <c r="F492" s="7"/>
      <c r="G492" s="7"/>
      <c r="H492" s="7"/>
      <c r="I492" s="7"/>
      <c r="J492" s="7"/>
      <c r="K492" s="7"/>
      <c r="L492" s="7"/>
      <c r="M492" s="7"/>
      <c r="N492" s="7"/>
      <c r="O492" s="7"/>
      <c r="P492" s="7"/>
      <c r="Q492" s="7"/>
      <c r="R492" s="7"/>
      <c r="S492" s="7"/>
      <c r="T492" s="7"/>
      <c r="U492" s="7"/>
      <c r="V492" s="7"/>
      <c r="W492" s="7"/>
      <c r="X492" s="7"/>
      <c r="Y492" s="7"/>
      <c r="Z492" s="7"/>
      <c r="AA492" s="7"/>
      <c r="AB492" s="57"/>
      <c r="AC492" s="1332" t="s">
        <v>1304</v>
      </c>
      <c r="AD492" s="1333"/>
      <c r="AE492" s="1333"/>
      <c r="AF492" s="1333"/>
      <c r="AG492" s="1333"/>
      <c r="AH492" s="1333"/>
      <c r="AI492" s="1333"/>
      <c r="AJ492" s="1333"/>
      <c r="AK492" s="1334"/>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35" customHeight="1">
      <c r="B493" s="46"/>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8"/>
      <c r="AC493" s="1332" t="s">
        <v>1305</v>
      </c>
      <c r="AD493" s="1333"/>
      <c r="AE493" s="1333"/>
      <c r="AF493" s="1333"/>
      <c r="AG493" s="49" t="s">
        <v>1306</v>
      </c>
      <c r="AH493" s="1333" t="s">
        <v>1307</v>
      </c>
      <c r="AI493" s="1333"/>
      <c r="AJ493" s="1333"/>
      <c r="AK493" s="1334"/>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35" customHeight="1">
      <c r="B494" s="1030" t="s">
        <v>1308</v>
      </c>
      <c r="C494" s="1031"/>
      <c r="D494" s="1031"/>
      <c r="E494" s="1031"/>
      <c r="F494" s="1031"/>
      <c r="G494" s="1031"/>
      <c r="H494" s="1032"/>
      <c r="I494" s="7" t="s">
        <v>1309</v>
      </c>
      <c r="J494" s="7"/>
      <c r="K494" s="7"/>
      <c r="L494" s="7"/>
      <c r="M494" s="7"/>
      <c r="N494" s="7"/>
      <c r="O494" s="7"/>
      <c r="P494" s="7"/>
      <c r="Q494" s="7"/>
      <c r="R494" s="7"/>
      <c r="S494" s="7"/>
      <c r="T494" s="7"/>
      <c r="U494" s="7"/>
      <c r="V494" s="7"/>
      <c r="W494" s="7"/>
      <c r="AC494" s="1331">
        <v>6</v>
      </c>
      <c r="AD494" s="1071"/>
      <c r="AE494" s="1071"/>
      <c r="AF494" s="1071"/>
      <c r="AG494" s="18" t="s">
        <v>1306</v>
      </c>
      <c r="AH494" s="1059">
        <v>2022</v>
      </c>
      <c r="AI494" s="1059"/>
      <c r="AJ494" s="1059"/>
      <c r="AK494" s="1123"/>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35" customHeight="1">
      <c r="B495" s="1033"/>
      <c r="C495" s="1034"/>
      <c r="D495" s="1034"/>
      <c r="E495" s="1034"/>
      <c r="F495" s="1034"/>
      <c r="G495" s="1034"/>
      <c r="H495" s="1035"/>
      <c r="I495" s="47" t="s">
        <v>1310</v>
      </c>
      <c r="J495" s="47"/>
      <c r="K495" s="47"/>
      <c r="L495" s="47"/>
      <c r="M495" s="47"/>
      <c r="N495" s="47"/>
      <c r="O495" s="47"/>
      <c r="P495" s="47"/>
      <c r="Q495" s="47"/>
      <c r="R495" s="47"/>
      <c r="S495" s="47"/>
      <c r="T495" s="47"/>
      <c r="U495" s="47"/>
      <c r="V495" s="47"/>
      <c r="W495" s="47"/>
      <c r="X495" s="47"/>
      <c r="Y495" s="47"/>
      <c r="Z495" s="47"/>
      <c r="AA495" s="47"/>
      <c r="AB495" s="47"/>
      <c r="AC495" s="1331">
        <v>12</v>
      </c>
      <c r="AD495" s="1071"/>
      <c r="AE495" s="1071"/>
      <c r="AF495" s="1071"/>
      <c r="AG495" s="40" t="s">
        <v>1306</v>
      </c>
      <c r="AH495" s="1059">
        <v>2021</v>
      </c>
      <c r="AI495" s="1059"/>
      <c r="AJ495" s="1059"/>
      <c r="AK495" s="1123"/>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35" customHeight="1">
      <c r="B496" s="1030" t="s">
        <v>1311</v>
      </c>
      <c r="C496" s="1031"/>
      <c r="D496" s="1031"/>
      <c r="E496" s="1031"/>
      <c r="F496" s="1031"/>
      <c r="G496" s="1031"/>
      <c r="H496" s="1032"/>
      <c r="I496" s="7" t="s">
        <v>1312</v>
      </c>
      <c r="J496" s="7"/>
      <c r="K496" s="7"/>
      <c r="L496" s="7"/>
      <c r="M496" s="7"/>
      <c r="N496" s="7"/>
      <c r="O496" s="7"/>
      <c r="P496" s="7"/>
      <c r="Q496" s="7"/>
      <c r="R496" s="7"/>
      <c r="S496" s="7"/>
      <c r="T496" s="7"/>
      <c r="U496" s="7"/>
      <c r="V496" s="7"/>
      <c r="W496" s="7"/>
      <c r="AC496" s="1331">
        <v>7</v>
      </c>
      <c r="AD496" s="1071"/>
      <c r="AE496" s="1071"/>
      <c r="AF496" s="1071"/>
      <c r="AG496" s="18" t="s">
        <v>1306</v>
      </c>
      <c r="AH496" s="1059">
        <v>2022</v>
      </c>
      <c r="AI496" s="1059"/>
      <c r="AJ496" s="1059"/>
      <c r="AK496" s="1123"/>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3.35" customHeight="1">
      <c r="B497" s="1033"/>
      <c r="C497" s="1034"/>
      <c r="D497" s="1034"/>
      <c r="E497" s="1034"/>
      <c r="F497" s="1034"/>
      <c r="G497" s="1034"/>
      <c r="H497" s="1035"/>
      <c r="I497" t="s">
        <v>1313</v>
      </c>
      <c r="AC497" s="1331" t="s">
        <v>325</v>
      </c>
      <c r="AD497" s="1071"/>
      <c r="AE497" s="1071"/>
      <c r="AF497" s="1071"/>
      <c r="AG497" s="18" t="s">
        <v>1306</v>
      </c>
      <c r="AH497" s="1059"/>
      <c r="AI497" s="1059"/>
      <c r="AJ497" s="1059"/>
      <c r="AK497" s="1123"/>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3.35" customHeight="1">
      <c r="B498" s="1033"/>
      <c r="C498" s="1034"/>
      <c r="D498" s="1034"/>
      <c r="E498" s="1034"/>
      <c r="F498" s="1034"/>
      <c r="G498" s="1034"/>
      <c r="H498" s="1035"/>
      <c r="I498" t="s">
        <v>1314</v>
      </c>
      <c r="AC498" s="1331">
        <v>7</v>
      </c>
      <c r="AD498" s="1071"/>
      <c r="AE498" s="1071"/>
      <c r="AF498" s="1071"/>
      <c r="AG498" s="18" t="s">
        <v>1306</v>
      </c>
      <c r="AH498" s="1059">
        <v>2022</v>
      </c>
      <c r="AI498" s="1059"/>
      <c r="AJ498" s="1059"/>
      <c r="AK498" s="1123"/>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3.35" customHeight="1">
      <c r="B499" s="1033"/>
      <c r="C499" s="1034"/>
      <c r="D499" s="1034"/>
      <c r="E499" s="1034"/>
      <c r="F499" s="1034"/>
      <c r="G499" s="1034"/>
      <c r="H499" s="1035"/>
      <c r="I499" t="s">
        <v>1315</v>
      </c>
      <c r="AC499" s="1331">
        <v>7</v>
      </c>
      <c r="AD499" s="1071"/>
      <c r="AE499" s="1071"/>
      <c r="AF499" s="1071"/>
      <c r="AG499" s="18" t="s">
        <v>1306</v>
      </c>
      <c r="AH499" s="1059">
        <v>2023</v>
      </c>
      <c r="AI499" s="1059"/>
      <c r="AJ499" s="1059"/>
      <c r="AK499" s="1123"/>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3.35" customHeight="1">
      <c r="B500" s="1033"/>
      <c r="C500" s="1034"/>
      <c r="D500" s="1034"/>
      <c r="E500" s="1034"/>
      <c r="F500" s="1034"/>
      <c r="G500" s="1034"/>
      <c r="H500" s="1035"/>
      <c r="I500" s="37" t="s">
        <v>1316</v>
      </c>
      <c r="AC500" s="1174">
        <v>10</v>
      </c>
      <c r="AD500" s="1175"/>
      <c r="AE500" s="1175"/>
      <c r="AF500" s="1175"/>
      <c r="AG500" s="18" t="s">
        <v>1306</v>
      </c>
      <c r="AH500" s="1059">
        <v>2023</v>
      </c>
      <c r="AI500" s="1059"/>
      <c r="AJ500" s="1059"/>
      <c r="AK500" s="1123"/>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3.35" customHeight="1">
      <c r="B501" s="1033"/>
      <c r="C501" s="1034"/>
      <c r="D501" s="1034"/>
      <c r="E501" s="1034"/>
      <c r="F501" s="1034"/>
      <c r="G501" s="1034"/>
      <c r="H501" s="1035"/>
      <c r="I501" s="339" t="s">
        <v>1233</v>
      </c>
      <c r="J501" s="47"/>
      <c r="K501" s="47"/>
      <c r="L501" s="1368" t="s">
        <v>1317</v>
      </c>
      <c r="M501" s="1369"/>
      <c r="N501" s="1369"/>
      <c r="O501" s="1369"/>
      <c r="P501" s="1369"/>
      <c r="Q501" s="1369"/>
      <c r="R501" s="1369"/>
      <c r="S501" s="1369"/>
      <c r="T501" s="1369"/>
      <c r="U501" s="1369"/>
      <c r="V501" s="1369"/>
      <c r="W501" s="1369"/>
      <c r="X501" s="1369"/>
      <c r="Y501" s="1369"/>
      <c r="Z501" s="1369"/>
      <c r="AA501" s="1369"/>
      <c r="AB501" s="1409"/>
      <c r="AC501" s="1331"/>
      <c r="AD501" s="1071"/>
      <c r="AE501" s="1071"/>
      <c r="AF501" s="1071"/>
      <c r="AG501" s="40" t="s">
        <v>1306</v>
      </c>
      <c r="AH501" s="1059"/>
      <c r="AI501" s="1059"/>
      <c r="AJ501" s="1059"/>
      <c r="AK501" s="1123"/>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3.35" customHeight="1">
      <c r="B502" s="1033"/>
      <c r="C502" s="1034"/>
      <c r="D502" s="1034"/>
      <c r="E502" s="1034"/>
      <c r="F502" s="1034"/>
      <c r="G502" s="1034"/>
      <c r="H502" s="1035"/>
      <c r="I502" s="37" t="s">
        <v>1318</v>
      </c>
      <c r="AC502" s="1343" t="s">
        <v>712</v>
      </c>
      <c r="AD502" s="1343"/>
      <c r="AE502" s="1343"/>
      <c r="AF502" s="1343"/>
      <c r="AG502" s="18"/>
      <c r="AH502" s="981"/>
      <c r="AI502" s="981"/>
      <c r="AJ502" s="981"/>
      <c r="AK502" s="1344"/>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3.35" customHeight="1">
      <c r="B503" s="1033"/>
      <c r="C503" s="1034"/>
      <c r="D503" s="1034"/>
      <c r="E503" s="1034"/>
      <c r="F503" s="1034"/>
      <c r="G503" s="1034"/>
      <c r="H503" s="1035"/>
      <c r="I503" t="s">
        <v>1319</v>
      </c>
      <c r="AC503" s="1174"/>
      <c r="AD503" s="1175"/>
      <c r="AE503" s="1175"/>
      <c r="AF503" s="1176"/>
      <c r="AG503" s="18"/>
      <c r="AH503" s="981"/>
      <c r="AI503" s="981"/>
      <c r="AJ503" s="981"/>
      <c r="AK503" s="1344"/>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3.35" customHeight="1">
      <c r="B504" s="1033"/>
      <c r="C504" s="1034"/>
      <c r="D504" s="1034"/>
      <c r="E504" s="1034"/>
      <c r="F504" s="1034"/>
      <c r="G504" s="1034"/>
      <c r="H504" s="1035"/>
      <c r="I504" t="s">
        <v>1320</v>
      </c>
      <c r="AC504" s="742"/>
      <c r="AD504" s="743"/>
      <c r="AE504" s="743"/>
      <c r="AF504" s="744"/>
      <c r="AG504" s="18"/>
      <c r="AH504" s="1"/>
      <c r="AI504" s="1"/>
      <c r="AJ504" s="1"/>
      <c r="AK504" s="745"/>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3.35" customHeight="1">
      <c r="B505" s="1033"/>
      <c r="C505" s="1034"/>
      <c r="D505" s="1034"/>
      <c r="E505" s="1034"/>
      <c r="F505" s="1034"/>
      <c r="G505" s="1034"/>
      <c r="H505" s="1035"/>
      <c r="I505" s="746" t="s">
        <v>1321</v>
      </c>
      <c r="J505" s="47"/>
      <c r="K505" s="47"/>
      <c r="L505" s="47"/>
      <c r="M505" s="47"/>
      <c r="N505" s="47"/>
      <c r="O505" s="47"/>
      <c r="P505" s="47"/>
      <c r="Q505" s="47"/>
      <c r="R505" s="47"/>
      <c r="S505" s="47"/>
      <c r="T505" s="47"/>
      <c r="U505" s="47"/>
      <c r="V505" s="47"/>
      <c r="W505" s="47"/>
      <c r="X505" s="47"/>
      <c r="Y505" s="47"/>
      <c r="Z505" s="47"/>
      <c r="AA505" s="47"/>
      <c r="AB505" s="47"/>
      <c r="AC505" s="1413">
        <v>0.25</v>
      </c>
      <c r="AD505" s="1414"/>
      <c r="AE505" s="1414"/>
      <c r="AF505" s="1415"/>
      <c r="AG505" s="40"/>
      <c r="AH505" s="1389"/>
      <c r="AI505" s="1389"/>
      <c r="AJ505" s="1389"/>
      <c r="AK505" s="1390"/>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3.35" customHeight="1">
      <c r="B506" s="1030" t="s">
        <v>1322</v>
      </c>
      <c r="C506" s="1031"/>
      <c r="D506" s="1031"/>
      <c r="E506" s="1031"/>
      <c r="F506" s="1031"/>
      <c r="G506" s="1031"/>
      <c r="H506" s="1032"/>
      <c r="I506" s="7" t="s">
        <v>1323</v>
      </c>
      <c r="J506" s="7"/>
      <c r="K506" s="7"/>
      <c r="L506" s="7"/>
      <c r="M506" s="7"/>
      <c r="N506" s="7"/>
      <c r="O506" s="7"/>
      <c r="P506" s="7"/>
      <c r="Q506" s="7"/>
      <c r="R506" s="7"/>
      <c r="S506" s="7"/>
      <c r="T506" s="7"/>
      <c r="U506" s="7"/>
      <c r="V506" s="7"/>
      <c r="W506" s="7"/>
      <c r="AC506" s="1331">
        <v>1</v>
      </c>
      <c r="AD506" s="1071"/>
      <c r="AE506" s="1071"/>
      <c r="AF506" s="1071"/>
      <c r="AG506" s="18" t="s">
        <v>1306</v>
      </c>
      <c r="AH506" s="1059">
        <v>2023</v>
      </c>
      <c r="AI506" s="1059"/>
      <c r="AJ506" s="1059"/>
      <c r="AK506" s="1123"/>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3.35" customHeight="1">
      <c r="B507" s="1033"/>
      <c r="C507" s="1034"/>
      <c r="D507" s="1034"/>
      <c r="E507" s="1034"/>
      <c r="F507" s="1034"/>
      <c r="G507" s="1034"/>
      <c r="H507" s="1035"/>
      <c r="I507" t="s">
        <v>1324</v>
      </c>
      <c r="AC507" s="1331">
        <v>4</v>
      </c>
      <c r="AD507" s="1071"/>
      <c r="AE507" s="1071"/>
      <c r="AF507" s="1071"/>
      <c r="AG507" s="18" t="s">
        <v>1306</v>
      </c>
      <c r="AH507" s="1059">
        <v>2023</v>
      </c>
      <c r="AI507" s="1059"/>
      <c r="AJ507" s="1059"/>
      <c r="AK507" s="1123"/>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3.35" customHeight="1">
      <c r="B508" s="1033"/>
      <c r="C508" s="1034"/>
      <c r="D508" s="1034"/>
      <c r="E508" s="1034"/>
      <c r="F508" s="1034"/>
      <c r="G508" s="1034"/>
      <c r="H508" s="1035"/>
      <c r="I508" s="47" t="s">
        <v>1325</v>
      </c>
      <c r="J508" s="47"/>
      <c r="K508" s="47"/>
      <c r="L508" s="47"/>
      <c r="M508" s="47"/>
      <c r="N508" s="47"/>
      <c r="O508" s="47"/>
      <c r="P508" s="47"/>
      <c r="Q508" s="47"/>
      <c r="R508" s="47"/>
      <c r="S508" s="47"/>
      <c r="T508" s="47"/>
      <c r="U508" s="47"/>
      <c r="V508" s="47"/>
      <c r="W508" s="47"/>
      <c r="X508" s="47"/>
      <c r="Y508" s="47"/>
      <c r="Z508" s="47"/>
      <c r="AA508" s="47"/>
      <c r="AB508" s="47"/>
      <c r="AC508" s="1331">
        <v>10</v>
      </c>
      <c r="AD508" s="1071"/>
      <c r="AE508" s="1071"/>
      <c r="AF508" s="1071"/>
      <c r="AG508" s="40" t="s">
        <v>1306</v>
      </c>
      <c r="AH508" s="1059">
        <v>2023</v>
      </c>
      <c r="AI508" s="1059"/>
      <c r="AJ508" s="1059"/>
      <c r="AK508" s="1123"/>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3.35" customHeight="1">
      <c r="B509" s="1030" t="s">
        <v>1326</v>
      </c>
      <c r="C509" s="1031"/>
      <c r="D509" s="1031"/>
      <c r="E509" s="1031"/>
      <c r="F509" s="1031"/>
      <c r="G509" s="1031"/>
      <c r="H509" s="1032"/>
      <c r="I509" s="7" t="s">
        <v>1323</v>
      </c>
      <c r="J509" s="7"/>
      <c r="K509" s="7"/>
      <c r="L509" s="7"/>
      <c r="M509" s="7"/>
      <c r="N509" s="7"/>
      <c r="O509" s="7"/>
      <c r="P509" s="7"/>
      <c r="Q509" s="7"/>
      <c r="R509" s="7"/>
      <c r="S509" s="7"/>
      <c r="T509" s="7"/>
      <c r="U509" s="7"/>
      <c r="V509" s="7"/>
      <c r="W509" s="7"/>
      <c r="X509" s="7"/>
      <c r="Y509" s="7"/>
      <c r="Z509" s="7"/>
      <c r="AA509" s="7"/>
      <c r="AB509" s="7"/>
      <c r="AC509" s="1174">
        <v>1</v>
      </c>
      <c r="AD509" s="1175"/>
      <c r="AE509" s="1175"/>
      <c r="AF509" s="1175"/>
      <c r="AG509" s="196" t="s">
        <v>1306</v>
      </c>
      <c r="AH509" s="1059">
        <v>2023</v>
      </c>
      <c r="AI509" s="1059"/>
      <c r="AJ509" s="1059"/>
      <c r="AK509" s="1123"/>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3.35" customHeight="1">
      <c r="B510" s="1033"/>
      <c r="C510" s="1034"/>
      <c r="D510" s="1034"/>
      <c r="E510" s="1034"/>
      <c r="F510" s="1034"/>
      <c r="G510" s="1034"/>
      <c r="H510" s="1035"/>
      <c r="I510" t="s">
        <v>1324</v>
      </c>
      <c r="AC510" s="1331">
        <v>4</v>
      </c>
      <c r="AD510" s="1071"/>
      <c r="AE510" s="1071"/>
      <c r="AF510" s="1071"/>
      <c r="AG510" s="18" t="s">
        <v>1306</v>
      </c>
      <c r="AH510" s="1059">
        <v>2023</v>
      </c>
      <c r="AI510" s="1059"/>
      <c r="AJ510" s="1059"/>
      <c r="AK510" s="1123"/>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3.35" customHeight="1">
      <c r="B511" s="1036"/>
      <c r="C511" s="1037"/>
      <c r="D511" s="1037"/>
      <c r="E511" s="1037"/>
      <c r="F511" s="1037"/>
      <c r="G511" s="1037"/>
      <c r="H511" s="1038"/>
      <c r="I511" s="47" t="s">
        <v>1325</v>
      </c>
      <c r="J511" s="47"/>
      <c r="K511" s="47"/>
      <c r="L511" s="47"/>
      <c r="M511" s="47"/>
      <c r="N511" s="47"/>
      <c r="O511" s="47"/>
      <c r="P511" s="47"/>
      <c r="Q511" s="47"/>
      <c r="R511" s="47"/>
      <c r="S511" s="47"/>
      <c r="T511" s="47"/>
      <c r="U511" s="47"/>
      <c r="V511" s="47"/>
      <c r="W511" s="47"/>
      <c r="X511" s="47"/>
      <c r="Y511" s="47"/>
      <c r="Z511" s="47"/>
      <c r="AA511" s="47"/>
      <c r="AB511" s="47"/>
      <c r="AC511" s="1331">
        <v>3</v>
      </c>
      <c r="AD511" s="1071"/>
      <c r="AE511" s="1071"/>
      <c r="AF511" s="1071"/>
      <c r="AG511" s="40" t="s">
        <v>1306</v>
      </c>
      <c r="AH511" s="1059">
        <v>2025</v>
      </c>
      <c r="AI511" s="1059"/>
      <c r="AJ511" s="1059"/>
      <c r="AK511" s="1123"/>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3.35" customHeight="1">
      <c r="B512" s="1030" t="s">
        <v>1327</v>
      </c>
      <c r="C512" s="1031"/>
      <c r="D512" s="1031"/>
      <c r="E512" s="1031"/>
      <c r="F512" s="1031"/>
      <c r="G512" s="1031"/>
      <c r="H512" s="1032"/>
      <c r="I512" s="6" t="s">
        <v>1328</v>
      </c>
      <c r="J512" s="7"/>
      <c r="K512" s="7"/>
      <c r="L512" s="7"/>
      <c r="M512" s="7"/>
      <c r="N512" s="7"/>
      <c r="O512" s="1368" t="s">
        <v>2529</v>
      </c>
      <c r="P512" s="1369"/>
      <c r="Q512" s="1369"/>
      <c r="R512" s="1369"/>
      <c r="S512" s="1369"/>
      <c r="T512" s="1369"/>
      <c r="U512" s="1369"/>
      <c r="V512" s="1369"/>
      <c r="W512" s="1369"/>
      <c r="X512" s="1369"/>
      <c r="Y512" s="1369"/>
      <c r="Z512" s="1369"/>
      <c r="AA512" s="1369"/>
      <c r="AB512" s="57"/>
      <c r="AC512" s="1174"/>
      <c r="AD512" s="1175"/>
      <c r="AE512" s="1175"/>
      <c r="AF512" s="1175"/>
      <c r="AG512" s="196" t="s">
        <v>1306</v>
      </c>
      <c r="AH512" s="1059"/>
      <c r="AI512" s="1059"/>
      <c r="AJ512" s="1059"/>
      <c r="AK512" s="1123"/>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35" customHeight="1">
      <c r="B513" s="1033"/>
      <c r="C513" s="1034"/>
      <c r="D513" s="1034"/>
      <c r="E513" s="1034"/>
      <c r="F513" s="1034"/>
      <c r="G513" s="1034"/>
      <c r="H513" s="1035"/>
      <c r="I513" s="175" t="s">
        <v>38</v>
      </c>
      <c r="AB513" s="63"/>
      <c r="AC513" s="1331">
        <v>12</v>
      </c>
      <c r="AD513" s="1071"/>
      <c r="AE513" s="1071"/>
      <c r="AF513" s="1071"/>
      <c r="AG513" s="18" t="s">
        <v>1306</v>
      </c>
      <c r="AH513" s="1059">
        <v>2022</v>
      </c>
      <c r="AI513" s="1059"/>
      <c r="AJ513" s="1059"/>
      <c r="AK513" s="1123"/>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35" customHeight="1">
      <c r="B514" s="1033"/>
      <c r="C514" s="1034"/>
      <c r="D514" s="1034"/>
      <c r="E514" s="1034"/>
      <c r="F514" s="1034"/>
      <c r="G514" s="1034"/>
      <c r="H514" s="1035"/>
      <c r="I514" s="46" t="s">
        <v>1329</v>
      </c>
      <c r="J514" s="47"/>
      <c r="K514" s="47"/>
      <c r="L514" s="47"/>
      <c r="M514" s="47"/>
      <c r="N514" s="47"/>
      <c r="O514" s="47"/>
      <c r="P514" s="47"/>
      <c r="Q514" s="47"/>
      <c r="R514" s="47"/>
      <c r="S514" s="47"/>
      <c r="T514" s="47"/>
      <c r="U514" s="47"/>
      <c r="V514" s="47"/>
      <c r="W514" s="47"/>
      <c r="X514" s="47"/>
      <c r="Y514" s="47"/>
      <c r="Z514" s="47"/>
      <c r="AA514" s="47"/>
      <c r="AB514" s="48"/>
      <c r="AC514" s="1331">
        <v>4</v>
      </c>
      <c r="AD514" s="1071"/>
      <c r="AE514" s="1071"/>
      <c r="AF514" s="1071"/>
      <c r="AG514" s="40" t="s">
        <v>1306</v>
      </c>
      <c r="AH514" s="1059">
        <v>2023</v>
      </c>
      <c r="AI514" s="1059"/>
      <c r="AJ514" s="1059"/>
      <c r="AK514" s="1123"/>
      <c r="AM514" s="37"/>
      <c r="AN514" s="37"/>
      <c r="AO514" s="37"/>
      <c r="AP514" s="37"/>
      <c r="AQ514" s="37"/>
      <c r="AR514" s="37"/>
      <c r="AS514" s="37"/>
      <c r="AT514" s="37"/>
      <c r="AU514" s="37"/>
      <c r="AV514" s="37"/>
      <c r="AW514" s="37"/>
      <c r="AX514" s="37"/>
      <c r="AY514" s="37"/>
      <c r="AZ514" s="37" t="s">
        <v>1330</v>
      </c>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35" customHeight="1">
      <c r="B515" s="1033"/>
      <c r="C515" s="1034"/>
      <c r="D515" s="1034"/>
      <c r="E515" s="1034"/>
      <c r="F515" s="1034"/>
      <c r="G515" s="1034"/>
      <c r="H515" s="1035"/>
      <c r="I515" s="7" t="s">
        <v>1331</v>
      </c>
      <c r="J515" s="7"/>
      <c r="K515" s="7"/>
      <c r="L515" s="7"/>
      <c r="M515" s="7"/>
      <c r="N515" s="7"/>
      <c r="O515" s="1368" t="s">
        <v>1317</v>
      </c>
      <c r="P515" s="1369"/>
      <c r="Q515" s="1369"/>
      <c r="R515" s="1369"/>
      <c r="S515" s="1369"/>
      <c r="T515" s="1369"/>
      <c r="U515" s="1369"/>
      <c r="V515" s="1369"/>
      <c r="W515" s="1369"/>
      <c r="X515" s="1369"/>
      <c r="Y515" s="1369"/>
      <c r="Z515" s="1369"/>
      <c r="AA515" s="1369"/>
      <c r="AC515" s="1331" t="s">
        <v>325</v>
      </c>
      <c r="AD515" s="1071"/>
      <c r="AE515" s="1071"/>
      <c r="AF515" s="1071"/>
      <c r="AG515" s="18" t="s">
        <v>1306</v>
      </c>
      <c r="AH515" s="1059"/>
      <c r="AI515" s="1059"/>
      <c r="AJ515" s="1059"/>
      <c r="AK515" s="1123"/>
      <c r="AM515" s="37"/>
      <c r="AN515" s="37"/>
      <c r="AO515" s="37"/>
      <c r="AP515" s="37"/>
      <c r="AQ515" s="37"/>
      <c r="AR515" s="37"/>
      <c r="AS515" s="37"/>
      <c r="AT515" s="37"/>
      <c r="AU515" s="37"/>
      <c r="AV515" s="37"/>
      <c r="AW515" s="37"/>
      <c r="AX515" s="37"/>
      <c r="AY515" s="37"/>
      <c r="AZ515" s="37" t="s">
        <v>1332</v>
      </c>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35" customHeight="1">
      <c r="B516" s="1033"/>
      <c r="C516" s="1034"/>
      <c r="D516" s="1034"/>
      <c r="E516" s="1034"/>
      <c r="F516" s="1034"/>
      <c r="G516" s="1034"/>
      <c r="H516" s="1035"/>
      <c r="I516" t="s">
        <v>38</v>
      </c>
      <c r="AC516" s="1331" t="s">
        <v>325</v>
      </c>
      <c r="AD516" s="1071"/>
      <c r="AE516" s="1071"/>
      <c r="AF516" s="1071"/>
      <c r="AG516" s="18" t="s">
        <v>1306</v>
      </c>
      <c r="AH516" s="1059"/>
      <c r="AI516" s="1059"/>
      <c r="AJ516" s="1059"/>
      <c r="AK516" s="1123"/>
      <c r="AM516" s="37"/>
      <c r="AN516" s="37"/>
      <c r="AO516" s="37"/>
      <c r="AP516" s="37"/>
      <c r="AQ516" s="37"/>
      <c r="AR516" s="37"/>
      <c r="AS516" s="37"/>
      <c r="AT516" s="37"/>
      <c r="AU516" s="37"/>
      <c r="AV516" s="37"/>
      <c r="AW516" s="37"/>
      <c r="AX516" s="37"/>
      <c r="AY516" s="37"/>
      <c r="AZ516" s="37" t="s">
        <v>1333</v>
      </c>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35" customHeight="1">
      <c r="B517" s="1033"/>
      <c r="C517" s="1034"/>
      <c r="D517" s="1034"/>
      <c r="E517" s="1034"/>
      <c r="F517" s="1034"/>
      <c r="G517" s="1034"/>
      <c r="H517" s="1035"/>
      <c r="I517" s="47" t="s">
        <v>1329</v>
      </c>
      <c r="J517" s="47"/>
      <c r="K517" s="47"/>
      <c r="L517" s="47"/>
      <c r="M517" s="47"/>
      <c r="N517" s="47"/>
      <c r="O517" s="47"/>
      <c r="P517" s="47"/>
      <c r="Q517" s="47"/>
      <c r="R517" s="47"/>
      <c r="S517" s="47"/>
      <c r="T517" s="47"/>
      <c r="U517" s="47"/>
      <c r="V517" s="47"/>
      <c r="W517" s="47"/>
      <c r="X517" s="47"/>
      <c r="Y517" s="47"/>
      <c r="Z517" s="47"/>
      <c r="AA517" s="47"/>
      <c r="AB517" s="47"/>
      <c r="AC517" s="1331" t="s">
        <v>325</v>
      </c>
      <c r="AD517" s="1071"/>
      <c r="AE517" s="1071"/>
      <c r="AF517" s="1071"/>
      <c r="AG517" s="40" t="s">
        <v>1306</v>
      </c>
      <c r="AH517" s="1059"/>
      <c r="AI517" s="1059"/>
      <c r="AJ517" s="1059"/>
      <c r="AK517" s="1123"/>
      <c r="AM517" s="37"/>
      <c r="AN517" s="37"/>
      <c r="AO517" s="37"/>
      <c r="AP517" s="37"/>
      <c r="AQ517" s="37"/>
      <c r="AR517" s="37"/>
      <c r="AS517" s="37"/>
      <c r="AT517" s="37"/>
      <c r="AU517" s="37"/>
      <c r="AV517" s="37"/>
      <c r="AW517" s="37"/>
      <c r="AX517" s="37"/>
      <c r="AY517" s="37"/>
      <c r="AZ517" s="37" t="s">
        <v>1334</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35" customHeight="1">
      <c r="B518" s="1033"/>
      <c r="C518" s="1034"/>
      <c r="D518" s="1034"/>
      <c r="E518" s="1034"/>
      <c r="F518" s="1034"/>
      <c r="G518" s="1034"/>
      <c r="H518" s="1035"/>
      <c r="I518" s="7" t="s">
        <v>1331</v>
      </c>
      <c r="J518" s="7"/>
      <c r="K518" s="7"/>
      <c r="L518" s="7"/>
      <c r="M518" s="7"/>
      <c r="N518" s="7"/>
      <c r="O518" s="1368" t="s">
        <v>1317</v>
      </c>
      <c r="P518" s="1369"/>
      <c r="Q518" s="1369"/>
      <c r="R518" s="1369"/>
      <c r="S518" s="1369"/>
      <c r="T518" s="1369"/>
      <c r="U518" s="1369"/>
      <c r="V518" s="1369"/>
      <c r="W518" s="1369"/>
      <c r="X518" s="1369"/>
      <c r="Y518" s="1369"/>
      <c r="Z518" s="1369"/>
      <c r="AA518" s="1369"/>
      <c r="AC518" s="1331" t="s">
        <v>325</v>
      </c>
      <c r="AD518" s="1071"/>
      <c r="AE518" s="1071"/>
      <c r="AF518" s="1071"/>
      <c r="AG518" s="18" t="s">
        <v>1306</v>
      </c>
      <c r="AH518" s="1059"/>
      <c r="AI518" s="1059"/>
      <c r="AJ518" s="1059"/>
      <c r="AK518" s="1123"/>
      <c r="AM518" s="37"/>
      <c r="AN518" s="37"/>
      <c r="AO518" s="37"/>
      <c r="AP518" s="37"/>
      <c r="AQ518" s="37"/>
      <c r="AR518" s="37"/>
      <c r="AS518" s="37"/>
      <c r="AT518" s="37"/>
      <c r="AU518" s="37"/>
      <c r="AV518" s="37"/>
      <c r="AW518" s="37"/>
      <c r="AX518" s="37"/>
      <c r="AY518" s="37"/>
      <c r="AZ518" s="37" t="s">
        <v>1335</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35" customHeight="1">
      <c r="B519" s="1033"/>
      <c r="C519" s="1034"/>
      <c r="D519" s="1034"/>
      <c r="E519" s="1034"/>
      <c r="F519" s="1034"/>
      <c r="G519" s="1034"/>
      <c r="H519" s="1035"/>
      <c r="I519" t="s">
        <v>38</v>
      </c>
      <c r="AC519" s="1331" t="s">
        <v>325</v>
      </c>
      <c r="AD519" s="1071"/>
      <c r="AE519" s="1071"/>
      <c r="AF519" s="1071"/>
      <c r="AG519" s="18" t="s">
        <v>1306</v>
      </c>
      <c r="AH519" s="1059"/>
      <c r="AI519" s="1059"/>
      <c r="AJ519" s="1059"/>
      <c r="AK519" s="1123"/>
      <c r="AM519" s="37"/>
      <c r="AN519" s="37"/>
      <c r="AO519" s="37"/>
      <c r="AP519" s="37"/>
      <c r="AQ519" s="37"/>
      <c r="AR519" s="37"/>
      <c r="AS519" s="37"/>
      <c r="AT519" s="37"/>
      <c r="AU519" s="37"/>
      <c r="AV519" s="37"/>
      <c r="AW519" s="37"/>
      <c r="AX519" s="37"/>
      <c r="AY519" s="37"/>
      <c r="AZ519" s="37" t="s">
        <v>1336</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35" customHeight="1">
      <c r="B520" s="1033"/>
      <c r="C520" s="1034"/>
      <c r="D520" s="1034"/>
      <c r="E520" s="1034"/>
      <c r="F520" s="1034"/>
      <c r="G520" s="1034"/>
      <c r="H520" s="1035"/>
      <c r="I520" s="47" t="s">
        <v>1329</v>
      </c>
      <c r="J520" s="47"/>
      <c r="K520" s="47"/>
      <c r="L520" s="47"/>
      <c r="M520" s="47"/>
      <c r="N520" s="47"/>
      <c r="O520" s="47"/>
      <c r="P520" s="47"/>
      <c r="Q520" s="47"/>
      <c r="R520" s="47"/>
      <c r="S520" s="47"/>
      <c r="T520" s="47"/>
      <c r="U520" s="47"/>
      <c r="V520" s="47"/>
      <c r="W520" s="47"/>
      <c r="X520" s="47"/>
      <c r="Y520" s="47"/>
      <c r="Z520" s="47"/>
      <c r="AA520" s="47"/>
      <c r="AB520" s="47"/>
      <c r="AC520" s="1331" t="s">
        <v>325</v>
      </c>
      <c r="AD520" s="1071"/>
      <c r="AE520" s="1071"/>
      <c r="AF520" s="1071"/>
      <c r="AG520" s="40" t="s">
        <v>1306</v>
      </c>
      <c r="AH520" s="1059"/>
      <c r="AI520" s="1059"/>
      <c r="AJ520" s="1059"/>
      <c r="AK520" s="1123"/>
      <c r="AM520" s="37"/>
      <c r="AN520" s="37"/>
      <c r="AO520" s="37"/>
      <c r="AP520" s="37"/>
      <c r="AQ520" s="37"/>
      <c r="AR520" s="37"/>
      <c r="AS520" s="37"/>
      <c r="AT520" s="37"/>
      <c r="AU520" s="37"/>
      <c r="AV520" s="37"/>
      <c r="AW520" s="37"/>
      <c r="AX520" s="37"/>
      <c r="AY520" s="37"/>
      <c r="AZ520" s="37" t="s">
        <v>1337</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35" customHeight="1">
      <c r="B521" s="1033"/>
      <c r="C521" s="1034"/>
      <c r="D521" s="1034"/>
      <c r="E521" s="1034"/>
      <c r="F521" s="1034"/>
      <c r="G521" s="1034"/>
      <c r="H521" s="1035"/>
      <c r="I521" s="7" t="s">
        <v>1331</v>
      </c>
      <c r="J521" s="7"/>
      <c r="K521" s="7"/>
      <c r="L521" s="7"/>
      <c r="M521" s="7"/>
      <c r="N521" s="7"/>
      <c r="O521" s="1368" t="s">
        <v>1317</v>
      </c>
      <c r="P521" s="1369"/>
      <c r="Q521" s="1369"/>
      <c r="R521" s="1369"/>
      <c r="S521" s="1369"/>
      <c r="T521" s="1369"/>
      <c r="U521" s="1369"/>
      <c r="V521" s="1369"/>
      <c r="W521" s="1369"/>
      <c r="X521" s="1369"/>
      <c r="Y521" s="1369"/>
      <c r="Z521" s="1369"/>
      <c r="AA521" s="1369"/>
      <c r="AC521" s="1331" t="s">
        <v>325</v>
      </c>
      <c r="AD521" s="1071"/>
      <c r="AE521" s="1071"/>
      <c r="AF521" s="1071"/>
      <c r="AG521" s="18" t="s">
        <v>1306</v>
      </c>
      <c r="AH521" s="1059"/>
      <c r="AI521" s="1059"/>
      <c r="AJ521" s="1059"/>
      <c r="AK521" s="1123"/>
      <c r="AM521" s="37"/>
      <c r="AN521" s="37"/>
      <c r="AO521" s="37"/>
      <c r="AP521" s="37"/>
      <c r="AQ521" s="37"/>
      <c r="AR521" s="37"/>
      <c r="AS521" s="37"/>
      <c r="AT521" s="37"/>
      <c r="AU521" s="37"/>
      <c r="AV521" s="37"/>
      <c r="AW521" s="37"/>
      <c r="AX521" s="37"/>
      <c r="AY521" s="37"/>
      <c r="AZ521" s="37" t="s">
        <v>1338</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35" customHeight="1">
      <c r="B522" s="1033"/>
      <c r="C522" s="1034"/>
      <c r="D522" s="1034"/>
      <c r="E522" s="1034"/>
      <c r="F522" s="1034"/>
      <c r="G522" s="1034"/>
      <c r="H522" s="1035"/>
      <c r="I522" t="s">
        <v>38</v>
      </c>
      <c r="AC522" s="1331" t="s">
        <v>325</v>
      </c>
      <c r="AD522" s="1071"/>
      <c r="AE522" s="1071"/>
      <c r="AF522" s="1071"/>
      <c r="AG522" s="18" t="s">
        <v>1306</v>
      </c>
      <c r="AH522" s="1059"/>
      <c r="AI522" s="1059"/>
      <c r="AJ522" s="1059"/>
      <c r="AK522" s="1123"/>
      <c r="AM522" s="37"/>
      <c r="AN522" s="37"/>
      <c r="AO522" s="37"/>
      <c r="AP522" s="37"/>
      <c r="AQ522" s="37"/>
      <c r="AR522" s="37"/>
      <c r="AS522" s="37"/>
      <c r="AT522" s="37"/>
      <c r="AU522" s="37"/>
      <c r="AV522" s="37"/>
      <c r="AW522" s="37"/>
      <c r="AX522" s="37"/>
      <c r="AY522" s="37"/>
      <c r="AZ522" s="37" t="s">
        <v>1339</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35" customHeight="1">
      <c r="B523" s="1033"/>
      <c r="C523" s="1034"/>
      <c r="D523" s="1034"/>
      <c r="E523" s="1034"/>
      <c r="F523" s="1034"/>
      <c r="G523" s="1034"/>
      <c r="H523" s="1035"/>
      <c r="I523" s="47" t="s">
        <v>1329</v>
      </c>
      <c r="J523" s="47"/>
      <c r="K523" s="47"/>
      <c r="L523" s="47"/>
      <c r="M523" s="47"/>
      <c r="N523" s="47"/>
      <c r="O523" s="47"/>
      <c r="P523" s="47"/>
      <c r="Q523" s="47"/>
      <c r="R523" s="47"/>
      <c r="S523" s="47"/>
      <c r="T523" s="47"/>
      <c r="U523" s="47"/>
      <c r="V523" s="47"/>
      <c r="W523" s="47"/>
      <c r="X523" s="47"/>
      <c r="Y523" s="47"/>
      <c r="Z523" s="47"/>
      <c r="AA523" s="47"/>
      <c r="AB523" s="47"/>
      <c r="AC523" s="1331" t="s">
        <v>325</v>
      </c>
      <c r="AD523" s="1071"/>
      <c r="AE523" s="1071"/>
      <c r="AF523" s="1071"/>
      <c r="AG523" s="40" t="s">
        <v>1306</v>
      </c>
      <c r="AH523" s="1059"/>
      <c r="AI523" s="1059"/>
      <c r="AJ523" s="1059"/>
      <c r="AK523" s="1123"/>
      <c r="AM523" s="37"/>
      <c r="AN523" s="37"/>
      <c r="AO523" s="37"/>
      <c r="AP523" s="37"/>
      <c r="AQ523" s="37"/>
      <c r="AR523" s="37"/>
      <c r="AS523" s="37"/>
      <c r="AT523" s="37"/>
      <c r="AU523" s="37"/>
      <c r="AV523" s="37"/>
      <c r="AW523" s="37"/>
      <c r="AX523" s="37"/>
      <c r="AY523" s="37"/>
      <c r="AZ523" s="37" t="s">
        <v>1340</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35" customHeight="1">
      <c r="B524" s="1033"/>
      <c r="C524" s="1034"/>
      <c r="D524" s="1034"/>
      <c r="E524" s="1034"/>
      <c r="F524" s="1034"/>
      <c r="G524" s="1034"/>
      <c r="H524" s="1035"/>
      <c r="I524" s="7" t="s">
        <v>1331</v>
      </c>
      <c r="J524" s="7"/>
      <c r="K524" s="7"/>
      <c r="L524" s="7"/>
      <c r="M524" s="7"/>
      <c r="N524" s="7"/>
      <c r="O524" s="1368" t="s">
        <v>1317</v>
      </c>
      <c r="P524" s="1369"/>
      <c r="Q524" s="1369"/>
      <c r="R524" s="1369"/>
      <c r="S524" s="1369"/>
      <c r="T524" s="1369"/>
      <c r="U524" s="1369"/>
      <c r="V524" s="1369"/>
      <c r="W524" s="1369"/>
      <c r="X524" s="1369"/>
      <c r="Y524" s="1369"/>
      <c r="Z524" s="1369"/>
      <c r="AA524" s="1369"/>
      <c r="AC524" s="1331" t="s">
        <v>325</v>
      </c>
      <c r="AD524" s="1071"/>
      <c r="AE524" s="1071"/>
      <c r="AF524" s="1071"/>
      <c r="AG524" s="18" t="s">
        <v>1306</v>
      </c>
      <c r="AH524" s="1059"/>
      <c r="AI524" s="1059"/>
      <c r="AJ524" s="1059"/>
      <c r="AK524" s="1123"/>
      <c r="AM524" s="37"/>
      <c r="AN524" s="37"/>
      <c r="AO524" s="37"/>
      <c r="AP524" s="37"/>
      <c r="AQ524" s="37"/>
      <c r="AR524" s="37"/>
      <c r="AS524" s="37"/>
      <c r="AT524" s="37"/>
      <c r="AU524" s="37"/>
      <c r="AV524" s="37"/>
      <c r="AW524" s="37"/>
      <c r="AX524" s="37"/>
      <c r="AY524" s="37"/>
      <c r="AZ524" s="37" t="s">
        <v>1341</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35" customHeight="1">
      <c r="B525" s="1033"/>
      <c r="C525" s="1034"/>
      <c r="D525" s="1034"/>
      <c r="E525" s="1034"/>
      <c r="F525" s="1034"/>
      <c r="G525" s="1034"/>
      <c r="H525" s="1035"/>
      <c r="I525" t="s">
        <v>38</v>
      </c>
      <c r="AC525" s="1331" t="s">
        <v>325</v>
      </c>
      <c r="AD525" s="1071"/>
      <c r="AE525" s="1071"/>
      <c r="AF525" s="1071"/>
      <c r="AG525" s="40" t="s">
        <v>1306</v>
      </c>
      <c r="AH525" s="1059"/>
      <c r="AI525" s="1059"/>
      <c r="AJ525" s="1059"/>
      <c r="AK525" s="1123"/>
      <c r="AM525" s="37"/>
      <c r="AN525" s="37"/>
      <c r="AO525" s="37"/>
      <c r="AP525" s="37"/>
      <c r="AQ525" s="37"/>
      <c r="AR525" s="37"/>
      <c r="AS525" s="37"/>
      <c r="AT525" s="37"/>
      <c r="AU525" s="37"/>
      <c r="AV525" s="37"/>
      <c r="AW525" s="37"/>
      <c r="AX525" s="37"/>
      <c r="AY525" s="37"/>
      <c r="AZ525" s="37" t="s">
        <v>1342</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35" customHeight="1">
      <c r="B526" s="1033"/>
      <c r="C526" s="1034"/>
      <c r="D526" s="1034"/>
      <c r="E526" s="1034"/>
      <c r="F526" s="1034"/>
      <c r="G526" s="1034"/>
      <c r="H526" s="1035"/>
      <c r="I526" s="47" t="s">
        <v>1329</v>
      </c>
      <c r="J526" s="47"/>
      <c r="K526" s="47"/>
      <c r="L526" s="47"/>
      <c r="M526" s="47"/>
      <c r="N526" s="47"/>
      <c r="O526" s="47"/>
      <c r="P526" s="47"/>
      <c r="Q526" s="47"/>
      <c r="R526" s="47"/>
      <c r="S526" s="47"/>
      <c r="T526" s="47"/>
      <c r="U526" s="47"/>
      <c r="V526" s="47"/>
      <c r="W526" s="47"/>
      <c r="X526" s="47"/>
      <c r="Y526" s="47"/>
      <c r="Z526" s="47"/>
      <c r="AA526" s="47"/>
      <c r="AB526" s="47"/>
      <c r="AC526" s="1331" t="s">
        <v>325</v>
      </c>
      <c r="AD526" s="1071"/>
      <c r="AE526" s="1071"/>
      <c r="AF526" s="1071"/>
      <c r="AG526" s="18" t="s">
        <v>1306</v>
      </c>
      <c r="AH526" s="1059"/>
      <c r="AI526" s="1059"/>
      <c r="AJ526" s="1059"/>
      <c r="AK526" s="1123"/>
      <c r="AM526" s="37"/>
      <c r="AN526" s="37"/>
      <c r="AO526" s="37"/>
      <c r="AP526" s="37"/>
      <c r="AQ526" s="37"/>
      <c r="AR526" s="37"/>
      <c r="AS526" s="37"/>
      <c r="AT526" s="37"/>
      <c r="AU526" s="37"/>
      <c r="AV526" s="37"/>
      <c r="AW526" s="37"/>
      <c r="AX526" s="37"/>
      <c r="AY526" s="37"/>
      <c r="AZ526" s="37" t="s">
        <v>1343</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35" customHeight="1">
      <c r="B527" s="1033"/>
      <c r="C527" s="1034"/>
      <c r="D527" s="1034"/>
      <c r="E527" s="1034"/>
      <c r="F527" s="1034"/>
      <c r="G527" s="1034"/>
      <c r="H527" s="1035"/>
      <c r="I527" s="7" t="s">
        <v>1331</v>
      </c>
      <c r="J527" s="7"/>
      <c r="K527" s="7"/>
      <c r="L527" s="7"/>
      <c r="M527" s="7"/>
      <c r="N527" s="7"/>
      <c r="O527" s="1368" t="s">
        <v>1317</v>
      </c>
      <c r="P527" s="1369"/>
      <c r="Q527" s="1369"/>
      <c r="R527" s="1369"/>
      <c r="S527" s="1369"/>
      <c r="T527" s="1369"/>
      <c r="U527" s="1369"/>
      <c r="V527" s="1369"/>
      <c r="W527" s="1369"/>
      <c r="X527" s="1369"/>
      <c r="Y527" s="1369"/>
      <c r="Z527" s="1369"/>
      <c r="AA527" s="1369"/>
      <c r="AC527" s="1331" t="s">
        <v>325</v>
      </c>
      <c r="AD527" s="1071"/>
      <c r="AE527" s="1071"/>
      <c r="AF527" s="1071"/>
      <c r="AG527" s="40" t="s">
        <v>1306</v>
      </c>
      <c r="AH527" s="1059"/>
      <c r="AI527" s="1059"/>
      <c r="AJ527" s="1059"/>
      <c r="AK527" s="1123"/>
      <c r="AM527" s="37"/>
      <c r="AN527" s="37"/>
      <c r="AO527" s="37"/>
      <c r="AP527" s="37"/>
      <c r="AQ527" s="37"/>
      <c r="AR527" s="37"/>
      <c r="AS527" s="37"/>
      <c r="AT527" s="37"/>
      <c r="AU527" s="37"/>
      <c r="AV527" s="37"/>
      <c r="AW527" s="37"/>
      <c r="AX527" s="37"/>
      <c r="AY527" s="37"/>
      <c r="AZ527" s="37" t="s">
        <v>1344</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35" customHeight="1">
      <c r="B528" s="1033"/>
      <c r="C528" s="1034"/>
      <c r="D528" s="1034"/>
      <c r="E528" s="1034"/>
      <c r="F528" s="1034"/>
      <c r="G528" s="1034"/>
      <c r="H528" s="1035"/>
      <c r="I528" t="s">
        <v>38</v>
      </c>
      <c r="AC528" s="1331" t="s">
        <v>325</v>
      </c>
      <c r="AD528" s="1071"/>
      <c r="AE528" s="1071"/>
      <c r="AF528" s="1071"/>
      <c r="AG528" s="18" t="s">
        <v>1306</v>
      </c>
      <c r="AH528" s="1059"/>
      <c r="AI528" s="1059"/>
      <c r="AJ528" s="1059"/>
      <c r="AK528" s="1123"/>
      <c r="AM528" s="37"/>
      <c r="AN528" s="37"/>
      <c r="AO528" s="37"/>
      <c r="AP528" s="37"/>
      <c r="AQ528" s="37"/>
      <c r="AR528" s="37"/>
      <c r="AS528" s="37"/>
      <c r="AT528" s="37"/>
      <c r="AU528" s="37"/>
      <c r="AV528" s="37"/>
      <c r="AW528" s="37"/>
      <c r="AX528" s="37"/>
      <c r="AY528" s="37"/>
      <c r="AZ528" s="37" t="s">
        <v>1345</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3.35" customHeight="1">
      <c r="B529" s="1033"/>
      <c r="C529" s="1034"/>
      <c r="D529" s="1034"/>
      <c r="E529" s="1034"/>
      <c r="F529" s="1034"/>
      <c r="G529" s="1034"/>
      <c r="H529" s="1035"/>
      <c r="I529" s="47" t="s">
        <v>1329</v>
      </c>
      <c r="J529" s="47"/>
      <c r="K529" s="47"/>
      <c r="L529" s="47"/>
      <c r="M529" s="47"/>
      <c r="N529" s="47"/>
      <c r="O529" s="47"/>
      <c r="P529" s="47"/>
      <c r="Q529" s="47"/>
      <c r="R529" s="47"/>
      <c r="S529" s="47"/>
      <c r="T529" s="47"/>
      <c r="U529" s="47"/>
      <c r="V529" s="47"/>
      <c r="W529" s="47"/>
      <c r="X529" s="47"/>
      <c r="Y529" s="47"/>
      <c r="Z529" s="47"/>
      <c r="AA529" s="47"/>
      <c r="AB529" s="47"/>
      <c r="AC529" s="1331" t="s">
        <v>325</v>
      </c>
      <c r="AD529" s="1071"/>
      <c r="AE529" s="1071"/>
      <c r="AF529" s="1071"/>
      <c r="AG529" s="40" t="s">
        <v>1306</v>
      </c>
      <c r="AH529" s="1059"/>
      <c r="AI529" s="1059"/>
      <c r="AJ529" s="1059"/>
      <c r="AK529" s="1123"/>
      <c r="AM529" s="37"/>
      <c r="AN529" s="37"/>
      <c r="AO529" s="37"/>
      <c r="AP529" s="37"/>
      <c r="AQ529" s="37"/>
      <c r="AR529" s="37"/>
      <c r="AS529" s="37"/>
      <c r="AT529" s="37"/>
      <c r="AU529" s="37"/>
      <c r="AV529" s="37"/>
      <c r="AW529" s="37"/>
      <c r="AX529" s="37"/>
      <c r="AY529" s="37"/>
      <c r="AZ529" s="37" t="s">
        <v>1346</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row>
    <row r="530" spans="1:97" ht="13.35" customHeight="1">
      <c r="B530" s="1033"/>
      <c r="C530" s="1034"/>
      <c r="D530" s="1034"/>
      <c r="E530" s="1034"/>
      <c r="F530" s="1034"/>
      <c r="G530" s="1034"/>
      <c r="H530" s="1035"/>
      <c r="I530" s="7" t="s">
        <v>1347</v>
      </c>
      <c r="J530" s="7"/>
      <c r="K530" s="7"/>
      <c r="L530" s="7"/>
      <c r="M530" s="7"/>
      <c r="N530" s="7"/>
      <c r="O530" s="7"/>
      <c r="P530" s="7"/>
      <c r="Q530" s="7"/>
      <c r="R530" s="7"/>
      <c r="S530" s="7"/>
      <c r="T530" s="7"/>
      <c r="U530" s="7"/>
      <c r="V530" s="7"/>
      <c r="W530" s="7"/>
      <c r="AC530" s="1331">
        <v>8</v>
      </c>
      <c r="AD530" s="1071"/>
      <c r="AE530" s="1071"/>
      <c r="AF530" s="1071"/>
      <c r="AG530" s="40" t="s">
        <v>1306</v>
      </c>
      <c r="AH530" s="1059">
        <v>2023</v>
      </c>
      <c r="AI530" s="1059"/>
      <c r="AJ530" s="1059"/>
      <c r="AK530" s="1123"/>
      <c r="AM530" s="37"/>
      <c r="AN530" s="37"/>
      <c r="AO530" s="37"/>
      <c r="AP530" s="37"/>
      <c r="AQ530" s="37"/>
      <c r="AR530" s="37"/>
      <c r="AS530" s="37"/>
      <c r="AT530" s="37"/>
      <c r="AU530" s="37"/>
      <c r="AV530" s="37"/>
      <c r="AW530" s="37"/>
      <c r="AX530" s="37"/>
      <c r="AY530" s="37"/>
      <c r="AZ530" s="37" t="s">
        <v>1348</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row>
    <row r="531" spans="1:97" ht="13.35" customHeight="1">
      <c r="B531" s="1033"/>
      <c r="C531" s="1034"/>
      <c r="D531" s="1034"/>
      <c r="E531" s="1034"/>
      <c r="F531" s="1034"/>
      <c r="G531" s="1034"/>
      <c r="H531" s="1035"/>
      <c r="I531" t="s">
        <v>1349</v>
      </c>
      <c r="AC531" s="1331">
        <v>10</v>
      </c>
      <c r="AD531" s="1071"/>
      <c r="AE531" s="1071"/>
      <c r="AF531" s="1071"/>
      <c r="AG531" s="18" t="s">
        <v>1306</v>
      </c>
      <c r="AH531" s="1059">
        <v>2023</v>
      </c>
      <c r="AI531" s="1059"/>
      <c r="AJ531" s="1059"/>
      <c r="AK531" s="1123"/>
      <c r="AM531" s="37"/>
      <c r="AN531" s="37"/>
      <c r="AO531" s="37"/>
      <c r="AP531" s="37"/>
      <c r="AQ531" s="37"/>
      <c r="AR531" s="37"/>
      <c r="AS531" s="37"/>
      <c r="AT531" s="37"/>
      <c r="AU531" s="37"/>
      <c r="AV531" s="37"/>
      <c r="AW531" s="37"/>
      <c r="AX531" s="37"/>
      <c r="AY531" s="37"/>
      <c r="AZ531" s="37" t="s">
        <v>1350</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row>
    <row r="532" spans="1:97" ht="13.35" customHeight="1">
      <c r="B532" s="1033"/>
      <c r="C532" s="1034"/>
      <c r="D532" s="1034"/>
      <c r="E532" s="1034"/>
      <c r="F532" s="1034"/>
      <c r="G532" s="1034"/>
      <c r="H532" s="1035"/>
      <c r="I532" t="s">
        <v>1351</v>
      </c>
      <c r="AC532" s="1331">
        <v>12</v>
      </c>
      <c r="AD532" s="1071"/>
      <c r="AE532" s="1071"/>
      <c r="AF532" s="1071"/>
      <c r="AG532" s="40" t="s">
        <v>1306</v>
      </c>
      <c r="AH532" s="1059">
        <v>2024</v>
      </c>
      <c r="AI532" s="1059"/>
      <c r="AJ532" s="1059"/>
      <c r="AK532" s="1123"/>
      <c r="AM532" s="37"/>
      <c r="AN532" s="37"/>
      <c r="AO532" s="37"/>
      <c r="AP532" s="37"/>
      <c r="AQ532" s="37"/>
      <c r="AR532" s="37"/>
      <c r="AS532" s="37"/>
      <c r="AT532" s="37"/>
      <c r="AU532" s="37"/>
      <c r="AV532" s="37"/>
      <c r="AW532" s="37"/>
      <c r="AX532" s="37"/>
      <c r="AY532" s="37"/>
      <c r="AZ532" s="37" t="s">
        <v>1352</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3.35" customHeight="1">
      <c r="B533" s="1033"/>
      <c r="C533" s="1034"/>
      <c r="D533" s="1034"/>
      <c r="E533" s="1034"/>
      <c r="F533" s="1034"/>
      <c r="G533" s="1034"/>
      <c r="H533" s="1035"/>
      <c r="I533" t="s">
        <v>1353</v>
      </c>
      <c r="AC533" s="1331">
        <v>12</v>
      </c>
      <c r="AD533" s="1071"/>
      <c r="AE533" s="1071"/>
      <c r="AF533" s="1071"/>
      <c r="AG533" s="40" t="s">
        <v>1306</v>
      </c>
      <c r="AH533" s="1059">
        <v>2024</v>
      </c>
      <c r="AI533" s="1059"/>
      <c r="AJ533" s="1059"/>
      <c r="AK533" s="1123"/>
      <c r="AM533" s="37"/>
      <c r="AN533" s="37"/>
      <c r="AO533" s="37"/>
      <c r="AP533" s="37"/>
      <c r="AQ533" s="37"/>
      <c r="AR533" s="37"/>
      <c r="AS533" s="37"/>
      <c r="AT533" s="37"/>
      <c r="AU533" s="37"/>
      <c r="AV533" s="37"/>
      <c r="AW533" s="37"/>
      <c r="AX533" s="37"/>
      <c r="AY533" s="37"/>
      <c r="AZ533" s="37" t="s">
        <v>1354</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3.35" customHeight="1">
      <c r="B534" s="1036"/>
      <c r="C534" s="1037"/>
      <c r="D534" s="1037"/>
      <c r="E534" s="1037"/>
      <c r="F534" s="1037"/>
      <c r="G534" s="1037"/>
      <c r="H534" s="1038"/>
      <c r="I534" s="47" t="s">
        <v>1355</v>
      </c>
      <c r="J534" s="47"/>
      <c r="K534" s="47"/>
      <c r="L534" s="47"/>
      <c r="M534" s="47"/>
      <c r="N534" s="47"/>
      <c r="O534" s="47"/>
      <c r="P534" s="47"/>
      <c r="Q534" s="47"/>
      <c r="R534" s="47"/>
      <c r="S534" s="47"/>
      <c r="T534" s="47"/>
      <c r="U534" s="47"/>
      <c r="V534" s="47"/>
      <c r="W534" s="47"/>
      <c r="X534" s="47"/>
      <c r="Y534" s="47"/>
      <c r="Z534" s="47"/>
      <c r="AA534" s="47"/>
      <c r="AB534" s="47"/>
      <c r="AC534" s="1331">
        <v>3</v>
      </c>
      <c r="AD534" s="1071"/>
      <c r="AE534" s="1071"/>
      <c r="AF534" s="1071"/>
      <c r="AG534" s="40" t="s">
        <v>1306</v>
      </c>
      <c r="AH534" s="1059">
        <v>2025</v>
      </c>
      <c r="AI534" s="1059"/>
      <c r="AJ534" s="1059"/>
      <c r="AK534" s="1123"/>
      <c r="AM534" s="37"/>
      <c r="AN534" s="37"/>
      <c r="AO534" s="37"/>
      <c r="AP534" s="37"/>
      <c r="AQ534" s="37"/>
      <c r="AR534" s="37"/>
      <c r="AS534" s="37"/>
      <c r="AT534" s="37"/>
      <c r="AU534" s="37"/>
      <c r="AV534" s="37"/>
      <c r="AW534" s="37"/>
      <c r="AX534" s="37"/>
      <c r="AY534" s="37"/>
      <c r="AZ534" s="37" t="s">
        <v>1356</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3.35" customHeight="1">
      <c r="AO535" s="37"/>
      <c r="AP535" s="37"/>
      <c r="AQ535" s="37"/>
      <c r="AR535" s="37"/>
      <c r="AS535" s="37"/>
      <c r="AT535" s="37"/>
      <c r="AU535" s="37"/>
      <c r="AV535" s="37"/>
      <c r="AW535" s="37"/>
      <c r="AX535" s="37"/>
      <c r="AY535" s="37"/>
      <c r="AZ535" s="37" t="s">
        <v>1357</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3.35" customHeight="1">
      <c r="A536" s="934" t="s">
        <v>1358</v>
      </c>
      <c r="B536" s="934"/>
      <c r="C536" s="934"/>
      <c r="D536" s="934"/>
      <c r="E536" s="934"/>
      <c r="F536" s="934"/>
      <c r="G536" s="934"/>
      <c r="H536" s="934"/>
      <c r="I536" s="934"/>
      <c r="J536" s="934"/>
      <c r="K536" s="934"/>
      <c r="L536" s="934"/>
      <c r="M536" s="934"/>
      <c r="N536" s="934"/>
      <c r="O536" s="934"/>
      <c r="P536" s="934"/>
      <c r="Q536" s="934"/>
      <c r="R536" s="934"/>
      <c r="S536" s="934"/>
      <c r="T536" s="934"/>
      <c r="U536" s="934"/>
      <c r="V536" s="934"/>
      <c r="W536" s="934"/>
      <c r="X536" s="934"/>
      <c r="Y536" s="934"/>
      <c r="Z536" s="934"/>
      <c r="AA536" s="934"/>
      <c r="AB536" s="934"/>
      <c r="AC536" s="934"/>
      <c r="AD536" s="934"/>
      <c r="AE536" s="934"/>
      <c r="AF536" s="934"/>
      <c r="AG536" s="934"/>
      <c r="AH536" s="934"/>
      <c r="AI536" s="934"/>
      <c r="AJ536" s="934"/>
      <c r="AK536" s="934"/>
      <c r="AL536" s="934"/>
      <c r="AM536" s="934"/>
      <c r="AN536" s="934"/>
      <c r="AO536" s="934"/>
      <c r="AP536" s="934"/>
      <c r="AQ536" s="934"/>
      <c r="AR536" s="934"/>
      <c r="AS536" s="934"/>
      <c r="AT536" s="37"/>
      <c r="AU536" s="37"/>
      <c r="AV536" s="37"/>
      <c r="AW536" s="37"/>
      <c r="AX536" s="37"/>
      <c r="AY536" s="37"/>
      <c r="AZ536" s="37" t="s">
        <v>1359</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3.35" customHeight="1">
      <c r="A537" s="934"/>
      <c r="B537" s="934"/>
      <c r="C537" s="934"/>
      <c r="D537" s="934"/>
      <c r="E537" s="934"/>
      <c r="F537" s="934"/>
      <c r="G537" s="934"/>
      <c r="H537" s="934"/>
      <c r="I537" s="934"/>
      <c r="J537" s="934"/>
      <c r="K537" s="934"/>
      <c r="L537" s="934"/>
      <c r="M537" s="934"/>
      <c r="N537" s="934"/>
      <c r="O537" s="934"/>
      <c r="P537" s="934"/>
      <c r="Q537" s="934"/>
      <c r="R537" s="934"/>
      <c r="S537" s="934"/>
      <c r="T537" s="934"/>
      <c r="U537" s="934"/>
      <c r="V537" s="934"/>
      <c r="W537" s="934"/>
      <c r="X537" s="934"/>
      <c r="Y537" s="934"/>
      <c r="Z537" s="934"/>
      <c r="AA537" s="934"/>
      <c r="AB537" s="934"/>
      <c r="AC537" s="934"/>
      <c r="AD537" s="934"/>
      <c r="AE537" s="934"/>
      <c r="AF537" s="934"/>
      <c r="AG537" s="934"/>
      <c r="AH537" s="934"/>
      <c r="AI537" s="934"/>
      <c r="AJ537" s="934"/>
      <c r="AK537" s="934"/>
      <c r="AL537" s="934"/>
      <c r="AM537" s="934"/>
      <c r="AN537" s="934"/>
      <c r="AO537" s="934"/>
      <c r="AP537" s="934"/>
      <c r="AQ537" s="934"/>
      <c r="AR537" s="934"/>
      <c r="AS537" s="934"/>
      <c r="AT537" s="37"/>
      <c r="AU537" s="37"/>
      <c r="AV537" s="37"/>
      <c r="AW537" s="37"/>
      <c r="AX537" s="37"/>
      <c r="AY537" s="37"/>
      <c r="AZ537" s="37" t="s">
        <v>1360</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3.35" customHeight="1">
      <c r="AT538" s="37"/>
      <c r="AU538" s="37"/>
      <c r="AV538" s="37"/>
      <c r="AW538" s="37"/>
      <c r="AX538" s="37"/>
      <c r="AY538" s="37"/>
      <c r="AZ538" s="37" t="s">
        <v>1361</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3.35" customHeight="1">
      <c r="A539" s="3" t="s">
        <v>854</v>
      </c>
      <c r="B539" s="3"/>
      <c r="C539" s="3" t="s">
        <v>181</v>
      </c>
      <c r="AT539" s="37"/>
      <c r="AU539" s="37"/>
      <c r="AV539" s="37"/>
      <c r="AW539" s="37"/>
      <c r="AX539" s="37"/>
      <c r="AY539" s="37"/>
      <c r="AZ539" t="s">
        <v>1362</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3.35" customHeight="1">
      <c r="A540" s="3"/>
      <c r="B540" s="3"/>
      <c r="C540" s="3"/>
      <c r="AT540" s="37"/>
      <c r="AU540" s="37"/>
      <c r="AV540" s="37"/>
      <c r="AW540" s="37"/>
      <c r="AX540" s="37"/>
      <c r="AY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3.35" customHeight="1">
      <c r="A541" s="3"/>
      <c r="B541" s="3"/>
      <c r="C541" s="3"/>
      <c r="D541" s="3" t="s">
        <v>1363</v>
      </c>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3.35" customHeight="1">
      <c r="B542" s="74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1:97" ht="13.35" customHeight="1">
      <c r="B543" s="1030" t="s">
        <v>1364</v>
      </c>
      <c r="C543" s="1031"/>
      <c r="D543" s="1031"/>
      <c r="E543" s="1031"/>
      <c r="F543" s="1031"/>
      <c r="G543" s="1031"/>
      <c r="H543" s="1031"/>
      <c r="I543" s="1031"/>
      <c r="J543" s="1031"/>
      <c r="K543" s="1031"/>
      <c r="L543" s="1031"/>
      <c r="M543" s="1078" t="s">
        <v>1365</v>
      </c>
      <c r="N543" s="1078"/>
      <c r="O543" s="1078"/>
      <c r="P543" s="1078"/>
      <c r="Q543" s="1030" t="s">
        <v>1366</v>
      </c>
      <c r="R543" s="1031"/>
      <c r="S543" s="1032"/>
      <c r="T543" s="1030" t="s">
        <v>1367</v>
      </c>
      <c r="U543" s="1031"/>
      <c r="V543" s="1032"/>
      <c r="W543" s="1030" t="s">
        <v>1368</v>
      </c>
      <c r="X543" s="1031"/>
      <c r="Y543" s="1032"/>
      <c r="Z543" s="1030" t="s">
        <v>1369</v>
      </c>
      <c r="AA543" s="1031"/>
      <c r="AB543" s="1031"/>
      <c r="AC543" s="1031"/>
      <c r="AD543" s="1032"/>
      <c r="AE543" s="1030" t="s">
        <v>1370</v>
      </c>
      <c r="AF543" s="1031"/>
      <c r="AG543" s="1031"/>
      <c r="AH543" s="1032"/>
      <c r="AI543" s="1030" t="s">
        <v>1371</v>
      </c>
      <c r="AJ543" s="1031"/>
      <c r="AK543" s="1031"/>
      <c r="AL543" s="1032"/>
      <c r="AM543" s="1030" t="s">
        <v>1372</v>
      </c>
      <c r="AN543" s="1031"/>
      <c r="AO543" s="1031"/>
      <c r="AP543" s="1031"/>
      <c r="AQ543" s="1031"/>
      <c r="AR543" s="1031"/>
      <c r="AS543" s="1032"/>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row>
    <row r="544" spans="1:97" ht="13.35" customHeight="1">
      <c r="B544" s="1033"/>
      <c r="C544" s="1034"/>
      <c r="D544" s="1034"/>
      <c r="E544" s="1034"/>
      <c r="F544" s="1034"/>
      <c r="G544" s="1034"/>
      <c r="H544" s="1034"/>
      <c r="I544" s="1034"/>
      <c r="J544" s="1034"/>
      <c r="K544" s="1034"/>
      <c r="L544" s="1034"/>
      <c r="M544" s="1078"/>
      <c r="N544" s="1078"/>
      <c r="O544" s="1078"/>
      <c r="P544" s="1078"/>
      <c r="Q544" s="1033"/>
      <c r="R544" s="1034"/>
      <c r="S544" s="1035"/>
      <c r="T544" s="1033"/>
      <c r="U544" s="1034"/>
      <c r="V544" s="1035"/>
      <c r="W544" s="1033"/>
      <c r="X544" s="1034"/>
      <c r="Y544" s="1035"/>
      <c r="Z544" s="1033"/>
      <c r="AA544" s="1034"/>
      <c r="AB544" s="1034"/>
      <c r="AC544" s="1034"/>
      <c r="AD544" s="1035"/>
      <c r="AE544" s="1033"/>
      <c r="AF544" s="1034"/>
      <c r="AG544" s="1034"/>
      <c r="AH544" s="1035"/>
      <c r="AI544" s="1033"/>
      <c r="AJ544" s="1034"/>
      <c r="AK544" s="1034"/>
      <c r="AL544" s="1035"/>
      <c r="AM544" s="1033"/>
      <c r="AN544" s="1034"/>
      <c r="AO544" s="1034"/>
      <c r="AP544" s="1034"/>
      <c r="AQ544" s="1034"/>
      <c r="AR544" s="1034"/>
      <c r="AS544" s="1035"/>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row>
    <row r="545" spans="1:97" ht="13.35" customHeight="1">
      <c r="B545" s="1036"/>
      <c r="C545" s="1037"/>
      <c r="D545" s="1037"/>
      <c r="E545" s="1037"/>
      <c r="F545" s="1037"/>
      <c r="G545" s="1037"/>
      <c r="H545" s="1037"/>
      <c r="I545" s="1037"/>
      <c r="J545" s="1037"/>
      <c r="K545" s="1037"/>
      <c r="L545" s="1037"/>
      <c r="M545" s="1078"/>
      <c r="N545" s="1078"/>
      <c r="O545" s="1078"/>
      <c r="P545" s="1078"/>
      <c r="Q545" s="1036"/>
      <c r="R545" s="1037"/>
      <c r="S545" s="1038"/>
      <c r="T545" s="1036"/>
      <c r="U545" s="1037"/>
      <c r="V545" s="1038"/>
      <c r="W545" s="1036"/>
      <c r="X545" s="1037"/>
      <c r="Y545" s="1038"/>
      <c r="Z545" s="1036"/>
      <c r="AA545" s="1037"/>
      <c r="AB545" s="1037"/>
      <c r="AC545" s="1037"/>
      <c r="AD545" s="1038"/>
      <c r="AE545" s="1036"/>
      <c r="AF545" s="1037"/>
      <c r="AG545" s="1037"/>
      <c r="AH545" s="1038"/>
      <c r="AI545" s="1036"/>
      <c r="AJ545" s="1037"/>
      <c r="AK545" s="1037"/>
      <c r="AL545" s="1038"/>
      <c r="AM545" s="1036"/>
      <c r="AN545" s="1037"/>
      <c r="AO545" s="1037"/>
      <c r="AP545" s="1037"/>
      <c r="AQ545" s="1037"/>
      <c r="AR545" s="1037"/>
      <c r="AS545" s="1038"/>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1:97" ht="13.35" customHeight="1">
      <c r="B546" s="50" t="s">
        <v>14</v>
      </c>
      <c r="C546" s="1042" t="s">
        <v>1373</v>
      </c>
      <c r="D546" s="1042"/>
      <c r="E546" s="1042"/>
      <c r="F546" s="1042"/>
      <c r="G546" s="1042"/>
      <c r="H546" s="1042"/>
      <c r="I546" s="1042"/>
      <c r="J546" s="1042"/>
      <c r="K546" s="1042"/>
      <c r="L546" s="1042"/>
      <c r="M546" s="1043" t="s">
        <v>1341</v>
      </c>
      <c r="N546" s="1043"/>
      <c r="O546" s="1043"/>
      <c r="P546" s="1043"/>
      <c r="Q546" s="1047">
        <v>30</v>
      </c>
      <c r="R546" s="1047"/>
      <c r="S546" s="1048"/>
      <c r="T546" s="1046"/>
      <c r="U546" s="1047"/>
      <c r="V546" s="1048"/>
      <c r="W546" s="1374">
        <v>0.06</v>
      </c>
      <c r="X546" s="1375"/>
      <c r="Y546" s="1376"/>
      <c r="Z546" s="1377" t="s">
        <v>1374</v>
      </c>
      <c r="AA546" s="1377"/>
      <c r="AB546" s="1377"/>
      <c r="AC546" s="1377"/>
      <c r="AD546" s="1377"/>
      <c r="AE546" s="1378">
        <v>1</v>
      </c>
      <c r="AF546" s="1379"/>
      <c r="AG546" s="1379"/>
      <c r="AH546" s="1380"/>
      <c r="AI546" s="1371">
        <v>0</v>
      </c>
      <c r="AJ546" s="1372"/>
      <c r="AK546" s="1372"/>
      <c r="AL546" s="1373"/>
      <c r="AM546" s="1100">
        <v>14000000</v>
      </c>
      <c r="AN546" s="1101"/>
      <c r="AO546" s="1101"/>
      <c r="AP546" s="1101"/>
      <c r="AQ546" s="1101"/>
      <c r="AR546" s="1101"/>
      <c r="AS546" s="1102"/>
      <c r="AT546" s="850"/>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1:97" ht="13.35" customHeight="1">
      <c r="B547" s="51" t="s">
        <v>27</v>
      </c>
      <c r="C547" s="1042" t="s">
        <v>1375</v>
      </c>
      <c r="D547" s="1042"/>
      <c r="E547" s="1042"/>
      <c r="F547" s="1042"/>
      <c r="G547" s="1042"/>
      <c r="H547" s="1042"/>
      <c r="I547" s="1042"/>
      <c r="J547" s="1042"/>
      <c r="K547" s="1042"/>
      <c r="L547" s="1042"/>
      <c r="M547" s="1043" t="s">
        <v>1343</v>
      </c>
      <c r="N547" s="1043"/>
      <c r="O547" s="1043"/>
      <c r="P547" s="1043"/>
      <c r="Q547" s="1046">
        <f>57*12</f>
        <v>684</v>
      </c>
      <c r="R547" s="1047"/>
      <c r="S547" s="1048"/>
      <c r="T547" s="1046"/>
      <c r="U547" s="1047"/>
      <c r="V547" s="1048"/>
      <c r="W547" s="1374">
        <v>0.03</v>
      </c>
      <c r="X547" s="1375"/>
      <c r="Y547" s="1376"/>
      <c r="Z547" s="1377" t="s">
        <v>1374</v>
      </c>
      <c r="AA547" s="1377"/>
      <c r="AB547" s="1377"/>
      <c r="AC547" s="1377"/>
      <c r="AD547" s="1377"/>
      <c r="AE547" s="1378">
        <v>2</v>
      </c>
      <c r="AF547" s="1379"/>
      <c r="AG547" s="1379"/>
      <c r="AH547" s="1380"/>
      <c r="AI547" s="1371">
        <v>0</v>
      </c>
      <c r="AJ547" s="1372"/>
      <c r="AK547" s="1372"/>
      <c r="AL547" s="1373"/>
      <c r="AM547" s="1100">
        <v>3080000</v>
      </c>
      <c r="AN547" s="1101"/>
      <c r="AO547" s="1101"/>
      <c r="AP547" s="1101"/>
      <c r="AQ547" s="1101"/>
      <c r="AR547" s="1101"/>
      <c r="AS547" s="1102"/>
      <c r="AT547" s="851" t="str">
        <f t="shared" ref="AT547:AT557" si="0">IF(AND(NOT(C546=""),C547="",NOT(C548="")),"!","")</f>
        <v/>
      </c>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1:97" ht="13.35" customHeight="1">
      <c r="B548" s="51" t="s">
        <v>33</v>
      </c>
      <c r="C548" s="1042" t="s">
        <v>1138</v>
      </c>
      <c r="D548" s="1042"/>
      <c r="E548" s="1042"/>
      <c r="F548" s="1042"/>
      <c r="G548" s="1042"/>
      <c r="H548" s="1042"/>
      <c r="I548" s="1042"/>
      <c r="J548" s="1042"/>
      <c r="K548" s="1042"/>
      <c r="L548" s="1042"/>
      <c r="M548" s="1043" t="s">
        <v>1338</v>
      </c>
      <c r="N548" s="1043"/>
      <c r="O548" s="1043"/>
      <c r="P548" s="1043"/>
      <c r="Q548" s="1046"/>
      <c r="R548" s="1047"/>
      <c r="S548" s="1048"/>
      <c r="T548" s="1046"/>
      <c r="U548" s="1047"/>
      <c r="V548" s="1048"/>
      <c r="W548" s="1374"/>
      <c r="X548" s="1375"/>
      <c r="Y548" s="1376"/>
      <c r="Z548" s="1377" t="s">
        <v>1330</v>
      </c>
      <c r="AA548" s="1377"/>
      <c r="AB548" s="1377"/>
      <c r="AC548" s="1377"/>
      <c r="AD548" s="1377"/>
      <c r="AE548" s="1378"/>
      <c r="AF548" s="1379"/>
      <c r="AG548" s="1379"/>
      <c r="AH548" s="1380"/>
      <c r="AI548" s="1371">
        <v>0</v>
      </c>
      <c r="AJ548" s="1372"/>
      <c r="AK548" s="1372"/>
      <c r="AL548" s="1373"/>
      <c r="AM548" s="1100">
        <v>4349000</v>
      </c>
      <c r="AN548" s="1101"/>
      <c r="AO548" s="1101"/>
      <c r="AP548" s="1101"/>
      <c r="AQ548" s="1101"/>
      <c r="AR548" s="1101"/>
      <c r="AS548" s="1102"/>
      <c r="AT548" s="851" t="str">
        <f t="shared" si="0"/>
        <v/>
      </c>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1:97" ht="13.35" customHeight="1">
      <c r="B549" s="51" t="s">
        <v>91</v>
      </c>
      <c r="C549" s="1042" t="s">
        <v>1376</v>
      </c>
      <c r="D549" s="1042"/>
      <c r="E549" s="1042"/>
      <c r="F549" s="1042"/>
      <c r="G549" s="1042"/>
      <c r="H549" s="1042"/>
      <c r="I549" s="1042"/>
      <c r="J549" s="1042"/>
      <c r="K549" s="1042"/>
      <c r="L549" s="1042"/>
      <c r="M549" s="1043" t="s">
        <v>1334</v>
      </c>
      <c r="N549" s="1043"/>
      <c r="O549" s="1043"/>
      <c r="P549" s="1043"/>
      <c r="Q549" s="1046"/>
      <c r="R549" s="1047"/>
      <c r="S549" s="1048"/>
      <c r="T549" s="1046"/>
      <c r="U549" s="1047"/>
      <c r="V549" s="1048"/>
      <c r="W549" s="1374"/>
      <c r="X549" s="1375"/>
      <c r="Y549" s="1376"/>
      <c r="Z549" s="1377" t="s">
        <v>1330</v>
      </c>
      <c r="AA549" s="1377"/>
      <c r="AB549" s="1377"/>
      <c r="AC549" s="1377"/>
      <c r="AD549" s="1377"/>
      <c r="AE549" s="1378"/>
      <c r="AF549" s="1379"/>
      <c r="AG549" s="1379"/>
      <c r="AH549" s="1380"/>
      <c r="AI549" s="1371">
        <v>0</v>
      </c>
      <c r="AJ549" s="1372"/>
      <c r="AK549" s="1372"/>
      <c r="AL549" s="1373"/>
      <c r="AM549" s="1100">
        <v>1100000</v>
      </c>
      <c r="AN549" s="1101"/>
      <c r="AO549" s="1101"/>
      <c r="AP549" s="1101"/>
      <c r="AQ549" s="1101"/>
      <c r="AR549" s="1101"/>
      <c r="AS549" s="1102"/>
      <c r="AT549" s="851" t="str">
        <f t="shared" si="0"/>
        <v/>
      </c>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1:97" ht="13.35" customHeight="1">
      <c r="B550" s="51" t="s">
        <v>95</v>
      </c>
      <c r="C550" s="1042"/>
      <c r="D550" s="1042"/>
      <c r="E550" s="1042"/>
      <c r="F550" s="1042"/>
      <c r="G550" s="1042"/>
      <c r="H550" s="1042"/>
      <c r="I550" s="1042"/>
      <c r="J550" s="1042"/>
      <c r="K550" s="1042"/>
      <c r="L550" s="1042"/>
      <c r="M550" s="1043" t="s">
        <v>1330</v>
      </c>
      <c r="N550" s="1043"/>
      <c r="O550" s="1043"/>
      <c r="P550" s="1043"/>
      <c r="Q550" s="1046"/>
      <c r="R550" s="1047"/>
      <c r="S550" s="1048"/>
      <c r="T550" s="1046"/>
      <c r="U550" s="1047"/>
      <c r="V550" s="1048"/>
      <c r="W550" s="1374"/>
      <c r="X550" s="1375"/>
      <c r="Y550" s="1376"/>
      <c r="Z550" s="1377" t="s">
        <v>1330</v>
      </c>
      <c r="AA550" s="1377"/>
      <c r="AB550" s="1377"/>
      <c r="AC550" s="1377"/>
      <c r="AD550" s="1377"/>
      <c r="AE550" s="1378"/>
      <c r="AF550" s="1379"/>
      <c r="AG550" s="1379"/>
      <c r="AH550" s="1380"/>
      <c r="AI550" s="1371"/>
      <c r="AJ550" s="1372"/>
      <c r="AK550" s="1372"/>
      <c r="AL550" s="1373"/>
      <c r="AM550" s="1100"/>
      <c r="AN550" s="1101"/>
      <c r="AO550" s="1101"/>
      <c r="AP550" s="1101"/>
      <c r="AQ550" s="1101"/>
      <c r="AR550" s="1101"/>
      <c r="AS550" s="1102"/>
      <c r="AT550" s="851" t="str">
        <f t="shared" si="0"/>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1:97" ht="13.35" customHeight="1">
      <c r="B551" s="51" t="s">
        <v>1377</v>
      </c>
      <c r="C551" s="1042"/>
      <c r="D551" s="1042"/>
      <c r="E551" s="1042"/>
      <c r="F551" s="1042"/>
      <c r="G551" s="1042"/>
      <c r="H551" s="1042"/>
      <c r="I551" s="1042"/>
      <c r="J551" s="1042"/>
      <c r="K551" s="1042"/>
      <c r="L551" s="1042"/>
      <c r="M551" s="1043" t="s">
        <v>1330</v>
      </c>
      <c r="N551" s="1043"/>
      <c r="O551" s="1043"/>
      <c r="P551" s="1043"/>
      <c r="Q551" s="1046"/>
      <c r="R551" s="1047"/>
      <c r="S551" s="1048"/>
      <c r="T551" s="1046"/>
      <c r="U551" s="1047"/>
      <c r="V551" s="1048"/>
      <c r="W551" s="1374"/>
      <c r="X551" s="1375"/>
      <c r="Y551" s="1376"/>
      <c r="Z551" s="1377" t="s">
        <v>1330</v>
      </c>
      <c r="AA551" s="1377"/>
      <c r="AB551" s="1377"/>
      <c r="AC551" s="1377"/>
      <c r="AD551" s="1377"/>
      <c r="AE551" s="1378"/>
      <c r="AF551" s="1379"/>
      <c r="AG551" s="1379"/>
      <c r="AH551" s="1380"/>
      <c r="AI551" s="1371"/>
      <c r="AJ551" s="1372"/>
      <c r="AK551" s="1372"/>
      <c r="AL551" s="1373"/>
      <c r="AM551" s="1100"/>
      <c r="AN551" s="1101"/>
      <c r="AO551" s="1101"/>
      <c r="AP551" s="1101"/>
      <c r="AQ551" s="1101"/>
      <c r="AR551" s="1101"/>
      <c r="AS551" s="1102"/>
      <c r="AT551" s="851" t="str">
        <f>IF(AND(NOT(C550=""),C551="",NOT(C552="")),"!","")</f>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1:97" ht="13.35" customHeight="1">
      <c r="B552" s="51" t="s">
        <v>1378</v>
      </c>
      <c r="C552" s="1042"/>
      <c r="D552" s="1042"/>
      <c r="E552" s="1042"/>
      <c r="F552" s="1042"/>
      <c r="G552" s="1042"/>
      <c r="H552" s="1042"/>
      <c r="I552" s="1042"/>
      <c r="J552" s="1042"/>
      <c r="K552" s="1042"/>
      <c r="L552" s="1042"/>
      <c r="M552" s="1043" t="s">
        <v>1330</v>
      </c>
      <c r="N552" s="1043"/>
      <c r="O552" s="1043"/>
      <c r="P552" s="1043"/>
      <c r="Q552" s="1046"/>
      <c r="R552" s="1047"/>
      <c r="S552" s="1048"/>
      <c r="T552" s="1046"/>
      <c r="U552" s="1047"/>
      <c r="V552" s="1048"/>
      <c r="W552" s="1374"/>
      <c r="X552" s="1375"/>
      <c r="Y552" s="1376"/>
      <c r="Z552" s="1377" t="s">
        <v>1330</v>
      </c>
      <c r="AA552" s="1377"/>
      <c r="AB552" s="1377"/>
      <c r="AC552" s="1377"/>
      <c r="AD552" s="1377"/>
      <c r="AE552" s="1378"/>
      <c r="AF552" s="1379"/>
      <c r="AG552" s="1379"/>
      <c r="AH552" s="1380"/>
      <c r="AI552" s="1371"/>
      <c r="AJ552" s="1372"/>
      <c r="AK552" s="1372"/>
      <c r="AL552" s="1373"/>
      <c r="AM552" s="1100"/>
      <c r="AN552" s="1101"/>
      <c r="AO552" s="1101"/>
      <c r="AP552" s="1101"/>
      <c r="AQ552" s="1101"/>
      <c r="AR552" s="1101"/>
      <c r="AS552" s="1102"/>
      <c r="AT552" s="851"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1:97" ht="13.35" customHeight="1">
      <c r="B553" s="51" t="s">
        <v>1379</v>
      </c>
      <c r="C553" s="1042"/>
      <c r="D553" s="1042"/>
      <c r="E553" s="1042"/>
      <c r="F553" s="1042"/>
      <c r="G553" s="1042"/>
      <c r="H553" s="1042"/>
      <c r="I553" s="1042"/>
      <c r="J553" s="1042"/>
      <c r="K553" s="1042"/>
      <c r="L553" s="1042"/>
      <c r="M553" s="1043" t="s">
        <v>1330</v>
      </c>
      <c r="N553" s="1043"/>
      <c r="O553" s="1043"/>
      <c r="P553" s="1043"/>
      <c r="Q553" s="1046"/>
      <c r="R553" s="1047"/>
      <c r="S553" s="1048"/>
      <c r="T553" s="1046"/>
      <c r="U553" s="1047"/>
      <c r="V553" s="1048"/>
      <c r="W553" s="1374"/>
      <c r="X553" s="1375"/>
      <c r="Y553" s="1376"/>
      <c r="Z553" s="1377" t="s">
        <v>1330</v>
      </c>
      <c r="AA553" s="1377"/>
      <c r="AB553" s="1377"/>
      <c r="AC553" s="1377"/>
      <c r="AD553" s="1377"/>
      <c r="AE553" s="1378"/>
      <c r="AF553" s="1379"/>
      <c r="AG553" s="1379"/>
      <c r="AH553" s="1380"/>
      <c r="AI553" s="1371"/>
      <c r="AJ553" s="1372"/>
      <c r="AK553" s="1372"/>
      <c r="AL553" s="1373"/>
      <c r="AM553" s="1100"/>
      <c r="AN553" s="1101"/>
      <c r="AO553" s="1101"/>
      <c r="AP553" s="1101"/>
      <c r="AQ553" s="1101"/>
      <c r="AR553" s="1101"/>
      <c r="AS553" s="1102"/>
      <c r="AT553" s="851"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3.35" customHeight="1">
      <c r="B554" s="51" t="s">
        <v>1380</v>
      </c>
      <c r="C554" s="1042"/>
      <c r="D554" s="1042"/>
      <c r="E554" s="1042"/>
      <c r="F554" s="1042"/>
      <c r="G554" s="1042"/>
      <c r="H554" s="1042"/>
      <c r="I554" s="1042"/>
      <c r="J554" s="1042"/>
      <c r="K554" s="1042"/>
      <c r="L554" s="1042"/>
      <c r="M554" s="1043" t="s">
        <v>1330</v>
      </c>
      <c r="N554" s="1043"/>
      <c r="O554" s="1043"/>
      <c r="P554" s="1043"/>
      <c r="Q554" s="1046"/>
      <c r="R554" s="1047"/>
      <c r="S554" s="1048"/>
      <c r="T554" s="1046"/>
      <c r="U554" s="1047"/>
      <c r="V554" s="1048"/>
      <c r="W554" s="1374"/>
      <c r="X554" s="1375"/>
      <c r="Y554" s="1376"/>
      <c r="Z554" s="1377" t="s">
        <v>1330</v>
      </c>
      <c r="AA554" s="1377"/>
      <c r="AB554" s="1377"/>
      <c r="AC554" s="1377"/>
      <c r="AD554" s="1377"/>
      <c r="AE554" s="1378"/>
      <c r="AF554" s="1379"/>
      <c r="AG554" s="1379"/>
      <c r="AH554" s="1380"/>
      <c r="AI554" s="1371"/>
      <c r="AJ554" s="1372"/>
      <c r="AK554" s="1372"/>
      <c r="AL554" s="1373"/>
      <c r="AM554" s="1100"/>
      <c r="AN554" s="1101"/>
      <c r="AO554" s="1101"/>
      <c r="AP554" s="1101"/>
      <c r="AQ554" s="1101"/>
      <c r="AR554" s="1101"/>
      <c r="AS554" s="1102"/>
      <c r="AT554" s="851" t="str">
        <f t="shared" si="0"/>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3.35" customHeight="1">
      <c r="B555" s="51" t="s">
        <v>1381</v>
      </c>
      <c r="C555" s="1042"/>
      <c r="D555" s="1042"/>
      <c r="E555" s="1042"/>
      <c r="F555" s="1042"/>
      <c r="G555" s="1042"/>
      <c r="H555" s="1042"/>
      <c r="I555" s="1042"/>
      <c r="J555" s="1042"/>
      <c r="K555" s="1042"/>
      <c r="L555" s="1042"/>
      <c r="M555" s="1043" t="s">
        <v>1330</v>
      </c>
      <c r="N555" s="1043"/>
      <c r="O555" s="1043"/>
      <c r="P555" s="1043"/>
      <c r="Q555" s="1046"/>
      <c r="R555" s="1047"/>
      <c r="S555" s="1048"/>
      <c r="T555" s="1046"/>
      <c r="U555" s="1047"/>
      <c r="V555" s="1048"/>
      <c r="W555" s="1374"/>
      <c r="X555" s="1375"/>
      <c r="Y555" s="1376"/>
      <c r="Z555" s="1377" t="s">
        <v>1330</v>
      </c>
      <c r="AA555" s="1377"/>
      <c r="AB555" s="1377"/>
      <c r="AC555" s="1377"/>
      <c r="AD555" s="1377"/>
      <c r="AE555" s="1378"/>
      <c r="AF555" s="1379"/>
      <c r="AG555" s="1379"/>
      <c r="AH555" s="1380"/>
      <c r="AI555" s="1371"/>
      <c r="AJ555" s="1372"/>
      <c r="AK555" s="1372"/>
      <c r="AL555" s="1373"/>
      <c r="AM555" s="1100"/>
      <c r="AN555" s="1101"/>
      <c r="AO555" s="1101"/>
      <c r="AP555" s="1101"/>
      <c r="AQ555" s="1101"/>
      <c r="AR555" s="1101"/>
      <c r="AS555" s="1102"/>
      <c r="AT555" s="851"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3.35" customHeight="1">
      <c r="B556" s="51" t="s">
        <v>1382</v>
      </c>
      <c r="C556" s="1042"/>
      <c r="D556" s="1042"/>
      <c r="E556" s="1042"/>
      <c r="F556" s="1042"/>
      <c r="G556" s="1042"/>
      <c r="H556" s="1042"/>
      <c r="I556" s="1042"/>
      <c r="J556" s="1042"/>
      <c r="K556" s="1042"/>
      <c r="L556" s="1042"/>
      <c r="M556" s="1043" t="s">
        <v>1330</v>
      </c>
      <c r="N556" s="1043"/>
      <c r="O556" s="1043"/>
      <c r="P556" s="1043"/>
      <c r="Q556" s="1046"/>
      <c r="R556" s="1047"/>
      <c r="S556" s="1048"/>
      <c r="T556" s="1046"/>
      <c r="U556" s="1047"/>
      <c r="V556" s="1048"/>
      <c r="W556" s="1374"/>
      <c r="X556" s="1375"/>
      <c r="Y556" s="1376"/>
      <c r="Z556" s="1377" t="s">
        <v>1330</v>
      </c>
      <c r="AA556" s="1377"/>
      <c r="AB556" s="1377"/>
      <c r="AC556" s="1377"/>
      <c r="AD556" s="1377"/>
      <c r="AE556" s="1378"/>
      <c r="AF556" s="1379"/>
      <c r="AG556" s="1379"/>
      <c r="AH556" s="1380"/>
      <c r="AI556" s="1371"/>
      <c r="AJ556" s="1372"/>
      <c r="AK556" s="1372"/>
      <c r="AL556" s="1373"/>
      <c r="AM556" s="1100"/>
      <c r="AN556" s="1101"/>
      <c r="AO556" s="1101"/>
      <c r="AP556" s="1101"/>
      <c r="AQ556" s="1101"/>
      <c r="AR556" s="1101"/>
      <c r="AS556" s="1102"/>
      <c r="AT556" s="851"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3.35" customHeight="1">
      <c r="B557" s="51" t="s">
        <v>1383</v>
      </c>
      <c r="C557" s="1042"/>
      <c r="D557" s="1042"/>
      <c r="E557" s="1042"/>
      <c r="F557" s="1042"/>
      <c r="G557" s="1042"/>
      <c r="H557" s="1042"/>
      <c r="I557" s="1042"/>
      <c r="J557" s="1042"/>
      <c r="K557" s="1042"/>
      <c r="L557" s="1042"/>
      <c r="M557" s="1043" t="s">
        <v>1330</v>
      </c>
      <c r="N557" s="1043"/>
      <c r="O557" s="1043"/>
      <c r="P557" s="1043"/>
      <c r="Q557" s="1046"/>
      <c r="R557" s="1047"/>
      <c r="S557" s="1048"/>
      <c r="T557" s="1046"/>
      <c r="U557" s="1047"/>
      <c r="V557" s="1048"/>
      <c r="W557" s="1374"/>
      <c r="X557" s="1375"/>
      <c r="Y557" s="1376"/>
      <c r="Z557" s="1377" t="s">
        <v>1330</v>
      </c>
      <c r="AA557" s="1377"/>
      <c r="AB557" s="1377"/>
      <c r="AC557" s="1377"/>
      <c r="AD557" s="1377"/>
      <c r="AE557" s="1378"/>
      <c r="AF557" s="1379"/>
      <c r="AG557" s="1379"/>
      <c r="AH557" s="1380"/>
      <c r="AI557" s="1371"/>
      <c r="AJ557" s="1372"/>
      <c r="AK557" s="1372"/>
      <c r="AL557" s="1373"/>
      <c r="AM557" s="1100"/>
      <c r="AN557" s="1101"/>
      <c r="AO557" s="1101"/>
      <c r="AP557" s="1101"/>
      <c r="AQ557" s="1101"/>
      <c r="AR557" s="1101"/>
      <c r="AS557" s="1102"/>
      <c r="AT557" s="851"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3.35" customHeight="1">
      <c r="B558" s="1049" t="s">
        <v>1384</v>
      </c>
      <c r="C558" s="1050"/>
      <c r="D558" s="1050"/>
      <c r="E558" s="1050"/>
      <c r="F558" s="1050"/>
      <c r="G558" s="1050"/>
      <c r="H558" s="1050"/>
      <c r="I558" s="1050"/>
      <c r="J558" s="1050"/>
      <c r="K558" s="1050"/>
      <c r="L558" s="1050"/>
      <c r="M558" s="1050"/>
      <c r="N558" s="1050"/>
      <c r="O558" s="1050"/>
      <c r="P558" s="1050"/>
      <c r="Q558" s="1050"/>
      <c r="R558" s="1050"/>
      <c r="S558" s="1050"/>
      <c r="T558" s="1050"/>
      <c r="U558" s="1051"/>
      <c r="V558" s="1050"/>
      <c r="W558" s="1050"/>
      <c r="X558" s="1050"/>
      <c r="Y558" s="1050"/>
      <c r="Z558" s="1050"/>
      <c r="AA558" s="1050"/>
      <c r="AB558" s="1050"/>
      <c r="AC558" s="1050"/>
      <c r="AD558" s="1050"/>
      <c r="AE558" s="1050"/>
      <c r="AF558" s="1050"/>
      <c r="AG558" s="1050"/>
      <c r="AH558" s="1050"/>
      <c r="AI558" s="1050"/>
      <c r="AJ558" s="1050"/>
      <c r="AK558" s="1050"/>
      <c r="AL558" s="1052"/>
      <c r="AM558" s="1106">
        <f>SUM(AM546:AS557)</f>
        <v>22529000</v>
      </c>
      <c r="AN558" s="1107"/>
      <c r="AO558" s="1107"/>
      <c r="AP558" s="1107"/>
      <c r="AQ558" s="1107"/>
      <c r="AR558" s="1107"/>
      <c r="AS558" s="1108"/>
      <c r="AT558" s="37"/>
      <c r="AU558" s="37"/>
      <c r="AV558" s="37"/>
      <c r="AW558" s="37"/>
      <c r="AX558" s="37"/>
      <c r="AY558" s="37"/>
      <c r="AZ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3.35" customHeight="1">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5"/>
      <c r="AE559" s="238"/>
      <c r="AF559" s="238"/>
      <c r="AG559" s="238"/>
      <c r="AH559" s="238"/>
      <c r="AI559" s="238"/>
      <c r="AJ559" s="238"/>
      <c r="AK559" s="238"/>
      <c r="AM559" s="37"/>
      <c r="AN559" s="37"/>
      <c r="AO559" s="37"/>
      <c r="AP559" s="37"/>
      <c r="AQ559" s="37"/>
      <c r="AR559" s="37"/>
      <c r="AS559" s="37"/>
      <c r="AT559" s="37"/>
      <c r="AU559" s="37"/>
      <c r="AV559" s="37"/>
      <c r="AW559" s="37"/>
      <c r="AX559" s="37"/>
      <c r="AY559" s="37"/>
      <c r="AZ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3.35" customHeight="1">
      <c r="A560" s="54" t="s">
        <v>14</v>
      </c>
      <c r="B560" t="s">
        <v>1385</v>
      </c>
      <c r="G560" s="1236" t="str">
        <f>C546</f>
        <v>Cal Bank &amp; Trust</v>
      </c>
      <c r="H560" s="1236"/>
      <c r="I560" s="1236"/>
      <c r="J560" s="1236"/>
      <c r="K560" s="1236"/>
      <c r="L560" s="1236"/>
      <c r="M560" s="1236"/>
      <c r="N560" s="1236"/>
      <c r="O560" s="1236"/>
      <c r="P560" s="1236"/>
      <c r="Q560" s="1236"/>
      <c r="R560" s="1236"/>
      <c r="S560" s="12"/>
      <c r="T560" s="54" t="s">
        <v>27</v>
      </c>
      <c r="U560" t="s">
        <v>1385</v>
      </c>
      <c r="Z560" s="1236" t="str">
        <f>C547</f>
        <v xml:space="preserve">County - LACDA </v>
      </c>
      <c r="AA560" s="1236"/>
      <c r="AB560" s="1236"/>
      <c r="AC560" s="1236"/>
      <c r="AD560" s="1236"/>
      <c r="AE560" s="1236"/>
      <c r="AF560" s="1236"/>
      <c r="AG560" s="1236"/>
      <c r="AH560" s="1236"/>
      <c r="AI560" s="1236"/>
      <c r="AJ560" s="1236"/>
      <c r="AK560" s="1236"/>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35" customHeight="1">
      <c r="A561" s="4"/>
      <c r="B561" t="s">
        <v>1045</v>
      </c>
      <c r="G561" s="1044" t="s">
        <v>1386</v>
      </c>
      <c r="H561" s="1044"/>
      <c r="I561" s="1044"/>
      <c r="J561" s="1044"/>
      <c r="K561" s="1044"/>
      <c r="L561" s="1044"/>
      <c r="M561" s="1044"/>
      <c r="N561" s="1044"/>
      <c r="O561" s="1044"/>
      <c r="P561" s="1044"/>
      <c r="Q561" s="1044"/>
      <c r="R561" s="1044"/>
      <c r="S561" s="12"/>
      <c r="T561" s="4"/>
      <c r="U561" t="s">
        <v>1045</v>
      </c>
      <c r="Z561" s="1070" t="s">
        <v>1387</v>
      </c>
      <c r="AA561" s="1044"/>
      <c r="AB561" s="1044"/>
      <c r="AC561" s="1044"/>
      <c r="AD561" s="1044"/>
      <c r="AE561" s="1044"/>
      <c r="AF561" s="1044"/>
      <c r="AG561" s="1044"/>
      <c r="AH561" s="1044"/>
      <c r="AI561" s="1044"/>
      <c r="AJ561" s="1044"/>
      <c r="AK561" s="1044"/>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35" customHeight="1">
      <c r="A562" s="4"/>
      <c r="B562" t="s">
        <v>907</v>
      </c>
      <c r="G562" s="1044" t="s">
        <v>1388</v>
      </c>
      <c r="H562" s="1044"/>
      <c r="I562" s="1044"/>
      <c r="J562" s="1044"/>
      <c r="K562" s="1044"/>
      <c r="L562" s="1044"/>
      <c r="M562" s="1044"/>
      <c r="N562" s="1044"/>
      <c r="O562" s="1044"/>
      <c r="P562" s="1044"/>
      <c r="Q562" s="1044"/>
      <c r="R562" s="1044"/>
      <c r="T562" s="4"/>
      <c r="U562" t="s">
        <v>907</v>
      </c>
      <c r="Z562" s="1093" t="s">
        <v>1389</v>
      </c>
      <c r="AA562" s="1045"/>
      <c r="AB562" s="1045"/>
      <c r="AC562" s="1045"/>
      <c r="AD562" s="1045"/>
      <c r="AE562" s="1045"/>
      <c r="AF562" s="1045"/>
      <c r="AG562" s="1045"/>
      <c r="AH562" s="1045"/>
      <c r="AI562" s="1045"/>
      <c r="AJ562" s="1045"/>
      <c r="AK562" s="1045"/>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35" customHeight="1">
      <c r="A563" s="4"/>
      <c r="B563" t="s">
        <v>1390</v>
      </c>
      <c r="G563" s="1044" t="s">
        <v>1391</v>
      </c>
      <c r="H563" s="1044"/>
      <c r="I563" s="1044"/>
      <c r="J563" s="1044"/>
      <c r="K563" s="1044"/>
      <c r="L563" s="1044"/>
      <c r="M563" s="1044"/>
      <c r="N563" s="1044"/>
      <c r="O563" s="1044"/>
      <c r="P563" s="1044"/>
      <c r="Q563" s="1044"/>
      <c r="R563" s="1044"/>
      <c r="S563" s="12"/>
      <c r="T563" s="4"/>
      <c r="U563" t="s">
        <v>1390</v>
      </c>
      <c r="Z563" s="1093" t="s">
        <v>1392</v>
      </c>
      <c r="AA563" s="1045"/>
      <c r="AB563" s="1045"/>
      <c r="AC563" s="1045"/>
      <c r="AD563" s="1045"/>
      <c r="AE563" s="1045"/>
      <c r="AF563" s="1045"/>
      <c r="AG563" s="1045"/>
      <c r="AH563" s="1045"/>
      <c r="AI563" s="1045"/>
      <c r="AJ563" s="1045"/>
      <c r="AK563" s="1045"/>
      <c r="AM563" s="37"/>
      <c r="AN563" s="37"/>
      <c r="AO563" s="37"/>
      <c r="AP563" s="37"/>
      <c r="AQ563" s="37"/>
      <c r="AR563" s="37"/>
      <c r="AS563" s="37"/>
      <c r="AT563" s="37"/>
      <c r="AU563" s="37"/>
      <c r="AV563" s="37"/>
      <c r="AW563" s="37"/>
      <c r="AX563" s="37"/>
      <c r="AY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35" customHeight="1">
      <c r="A564" s="4"/>
      <c r="B564" t="s">
        <v>823</v>
      </c>
      <c r="G564" s="1068">
        <v>3104076183</v>
      </c>
      <c r="H564" s="1068"/>
      <c r="I564" s="1068"/>
      <c r="J564" s="1068"/>
      <c r="K564" s="1068"/>
      <c r="L564" s="1068"/>
      <c r="O564" s="827" t="s">
        <v>1054</v>
      </c>
      <c r="P564" s="1093"/>
      <c r="Q564" s="1093"/>
      <c r="R564" s="1093"/>
      <c r="S564" s="14"/>
      <c r="T564" s="4"/>
      <c r="U564" t="s">
        <v>823</v>
      </c>
      <c r="Z564" s="1068">
        <v>6262624511</v>
      </c>
      <c r="AA564" s="1068"/>
      <c r="AB564" s="1068"/>
      <c r="AC564" s="1068"/>
      <c r="AD564" s="1068"/>
      <c r="AE564" s="1068"/>
      <c r="AH564" s="827" t="s">
        <v>1054</v>
      </c>
      <c r="AI564" s="1093"/>
      <c r="AJ564" s="1093"/>
      <c r="AK564" s="1093"/>
      <c r="AM564" s="37"/>
      <c r="AN564" s="37"/>
      <c r="AO564" s="37"/>
      <c r="AP564" s="37"/>
      <c r="AQ564" s="37"/>
      <c r="AR564" s="37"/>
      <c r="AS564" s="37"/>
      <c r="AT564" s="37"/>
      <c r="AU564" s="37"/>
      <c r="AV564" s="37"/>
      <c r="AW564" s="37"/>
      <c r="AX564" s="37"/>
      <c r="AY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35" customHeight="1">
      <c r="A565" s="4"/>
      <c r="B565" t="s">
        <v>1393</v>
      </c>
      <c r="H565" s="1044" t="s">
        <v>1394</v>
      </c>
      <c r="I565" s="1044"/>
      <c r="J565" s="1044"/>
      <c r="K565" s="1044"/>
      <c r="L565" s="1044"/>
      <c r="M565" s="1044"/>
      <c r="N565" s="1044"/>
      <c r="O565" s="1044"/>
      <c r="P565" s="1044"/>
      <c r="Q565" s="1044"/>
      <c r="R565" s="1044"/>
      <c r="S565" s="12"/>
      <c r="T565" s="4"/>
      <c r="U565" t="s">
        <v>1393</v>
      </c>
      <c r="AA565" s="1070" t="s">
        <v>1343</v>
      </c>
      <c r="AB565" s="1044"/>
      <c r="AC565" s="1044"/>
      <c r="AD565" s="1044"/>
      <c r="AE565" s="1044"/>
      <c r="AF565" s="1044"/>
      <c r="AG565" s="1044"/>
      <c r="AH565" s="1044"/>
      <c r="AI565" s="1044"/>
      <c r="AJ565" s="1044"/>
      <c r="AK565" s="1044"/>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35" customHeight="1">
      <c r="A566" s="4"/>
      <c r="B566" t="s">
        <v>1395</v>
      </c>
      <c r="N566" s="1069" t="s">
        <v>826</v>
      </c>
      <c r="O566" s="1069"/>
      <c r="T566" s="4"/>
      <c r="U566" t="s">
        <v>1395</v>
      </c>
      <c r="AG566" s="1069" t="s">
        <v>826</v>
      </c>
      <c r="AH566" s="1069"/>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35" customHeight="1">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35" customHeight="1">
      <c r="A568" s="54" t="s">
        <v>33</v>
      </c>
      <c r="B568" t="s">
        <v>1385</v>
      </c>
      <c r="G568" s="1236" t="str">
        <f>C548</f>
        <v>Enterprise Community Partners</v>
      </c>
      <c r="H568" s="1236"/>
      <c r="I568" s="1236"/>
      <c r="J568" s="1236"/>
      <c r="K568" s="1236"/>
      <c r="L568" s="1236"/>
      <c r="M568" s="1236"/>
      <c r="N568" s="1236"/>
      <c r="O568" s="1236"/>
      <c r="P568" s="1236"/>
      <c r="Q568" s="1236"/>
      <c r="R568" s="1236"/>
      <c r="T568" s="54" t="s">
        <v>91</v>
      </c>
      <c r="U568" t="s">
        <v>1385</v>
      </c>
      <c r="Z568" s="1236" t="str">
        <f>C549</f>
        <v>Deferred Developer Fee</v>
      </c>
      <c r="AA568" s="1236"/>
      <c r="AB568" s="1236"/>
      <c r="AC568" s="1236"/>
      <c r="AD568" s="1236"/>
      <c r="AE568" s="1236"/>
      <c r="AF568" s="1236"/>
      <c r="AG568" s="1236"/>
      <c r="AH568" s="1236"/>
      <c r="AI568" s="1236"/>
      <c r="AJ568" s="1236"/>
      <c r="AK568" s="1236"/>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35" customHeight="1">
      <c r="A569" s="4"/>
      <c r="B569" t="s">
        <v>1045</v>
      </c>
      <c r="G569" s="1044" t="s">
        <v>1139</v>
      </c>
      <c r="H569" s="1044"/>
      <c r="I569" s="1044"/>
      <c r="J569" s="1044"/>
      <c r="K569" s="1044"/>
      <c r="L569" s="1044"/>
      <c r="M569" s="1044"/>
      <c r="N569" s="1044"/>
      <c r="O569" s="1044"/>
      <c r="P569" s="1044"/>
      <c r="Q569" s="1044"/>
      <c r="R569" s="1044"/>
      <c r="T569" s="4"/>
      <c r="U569" t="s">
        <v>1045</v>
      </c>
      <c r="Z569" s="1044" t="s">
        <v>1396</v>
      </c>
      <c r="AA569" s="1044"/>
      <c r="AB569" s="1044"/>
      <c r="AC569" s="1044"/>
      <c r="AD569" s="1044"/>
      <c r="AE569" s="1044"/>
      <c r="AF569" s="1044"/>
      <c r="AG569" s="1044"/>
      <c r="AH569" s="1044"/>
      <c r="AI569" s="1044"/>
      <c r="AJ569" s="1044"/>
      <c r="AK569" s="1044"/>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35" customHeight="1">
      <c r="A570" s="4"/>
      <c r="B570" t="s">
        <v>907</v>
      </c>
      <c r="G570" s="1045" t="s">
        <v>1140</v>
      </c>
      <c r="H570" s="1045"/>
      <c r="I570" s="1045"/>
      <c r="J570" s="1045"/>
      <c r="K570" s="1045"/>
      <c r="L570" s="1045"/>
      <c r="M570" s="1045"/>
      <c r="N570" s="1045"/>
      <c r="O570" s="1045"/>
      <c r="P570" s="1045"/>
      <c r="Q570" s="1045"/>
      <c r="R570" s="1045"/>
      <c r="T570" s="4"/>
      <c r="U570" t="s">
        <v>907</v>
      </c>
      <c r="Z570" s="1045" t="s">
        <v>1104</v>
      </c>
      <c r="AA570" s="1045"/>
      <c r="AB570" s="1045"/>
      <c r="AC570" s="1045"/>
      <c r="AD570" s="1045"/>
      <c r="AE570" s="1045"/>
      <c r="AF570" s="1045"/>
      <c r="AG570" s="1045"/>
      <c r="AH570" s="1045"/>
      <c r="AI570" s="1045"/>
      <c r="AJ570" s="1045"/>
      <c r="AK570" s="1045"/>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35" customHeight="1">
      <c r="A571" s="4"/>
      <c r="B571" t="s">
        <v>1390</v>
      </c>
      <c r="G571" s="1045" t="s">
        <v>1141</v>
      </c>
      <c r="H571" s="1045"/>
      <c r="I571" s="1045"/>
      <c r="J571" s="1045"/>
      <c r="K571" s="1045"/>
      <c r="L571" s="1045"/>
      <c r="M571" s="1045"/>
      <c r="N571" s="1045"/>
      <c r="O571" s="1045"/>
      <c r="P571" s="1045"/>
      <c r="Q571" s="1045"/>
      <c r="R571" s="1045"/>
      <c r="T571" s="4"/>
      <c r="U571" t="s">
        <v>1390</v>
      </c>
      <c r="Z571" s="1045" t="s">
        <v>1107</v>
      </c>
      <c r="AA571" s="1045"/>
      <c r="AB571" s="1045"/>
      <c r="AC571" s="1045"/>
      <c r="AD571" s="1045"/>
      <c r="AE571" s="1045"/>
      <c r="AF571" s="1045"/>
      <c r="AG571" s="1045"/>
      <c r="AH571" s="1045"/>
      <c r="AI571" s="1045"/>
      <c r="AJ571" s="1045"/>
      <c r="AK571" s="1045"/>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35" customHeight="1">
      <c r="A572" s="4"/>
      <c r="B572" t="s">
        <v>823</v>
      </c>
      <c r="G572" s="1068">
        <v>2138337988</v>
      </c>
      <c r="H572" s="1068"/>
      <c r="I572" s="1068"/>
      <c r="J572" s="1068"/>
      <c r="K572" s="1068"/>
      <c r="L572" s="1068"/>
      <c r="O572" s="827" t="s">
        <v>1054</v>
      </c>
      <c r="P572" s="1093"/>
      <c r="Q572" s="1093"/>
      <c r="R572" s="1093"/>
      <c r="T572" s="4"/>
      <c r="U572" t="s">
        <v>823</v>
      </c>
      <c r="Z572" s="1068">
        <v>2135881334</v>
      </c>
      <c r="AA572" s="1068"/>
      <c r="AB572" s="1068"/>
      <c r="AC572" s="1068"/>
      <c r="AD572" s="1068"/>
      <c r="AE572" s="1068"/>
      <c r="AH572" s="827" t="s">
        <v>1054</v>
      </c>
      <c r="AI572" s="1093"/>
      <c r="AJ572" s="1093"/>
      <c r="AK572" s="1093"/>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35" customHeight="1">
      <c r="A573" s="4"/>
      <c r="B573" t="s">
        <v>1393</v>
      </c>
      <c r="H573" s="1044" t="s">
        <v>1397</v>
      </c>
      <c r="I573" s="1044"/>
      <c r="J573" s="1044"/>
      <c r="K573" s="1044"/>
      <c r="L573" s="1044"/>
      <c r="M573" s="1044"/>
      <c r="N573" s="1044"/>
      <c r="O573" s="1044"/>
      <c r="P573" s="1044"/>
      <c r="Q573" s="1044"/>
      <c r="R573" s="1044"/>
      <c r="T573" s="4"/>
      <c r="U573" t="s">
        <v>1393</v>
      </c>
      <c r="AA573" s="1044" t="s">
        <v>1376</v>
      </c>
      <c r="AB573" s="1044"/>
      <c r="AC573" s="1044"/>
      <c r="AD573" s="1044"/>
      <c r="AE573" s="1044"/>
      <c r="AF573" s="1044"/>
      <c r="AG573" s="1044"/>
      <c r="AH573" s="1044"/>
      <c r="AI573" s="1044"/>
      <c r="AJ573" s="1044"/>
      <c r="AK573" s="1044"/>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35" customHeight="1">
      <c r="A574" s="4"/>
      <c r="B574" t="s">
        <v>1395</v>
      </c>
      <c r="N574" s="1059" t="s">
        <v>826</v>
      </c>
      <c r="O574" s="1059"/>
      <c r="T574" s="4"/>
      <c r="U574" t="s">
        <v>1395</v>
      </c>
      <c r="AG574" s="1059" t="s">
        <v>826</v>
      </c>
      <c r="AH574" s="1059"/>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35" customHeight="1">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35" customHeight="1">
      <c r="A576" s="54" t="s">
        <v>95</v>
      </c>
      <c r="B576" t="s">
        <v>1385</v>
      </c>
      <c r="G576" s="1236">
        <f>C550</f>
        <v>0</v>
      </c>
      <c r="H576" s="1236"/>
      <c r="I576" s="1236"/>
      <c r="J576" s="1236"/>
      <c r="K576" s="1236"/>
      <c r="L576" s="1236"/>
      <c r="M576" s="1236"/>
      <c r="N576" s="1236"/>
      <c r="O576" s="1236"/>
      <c r="P576" s="1236"/>
      <c r="Q576" s="1236"/>
      <c r="R576" s="1236"/>
      <c r="T576" s="54" t="s">
        <v>1377</v>
      </c>
      <c r="U576" t="s">
        <v>1385</v>
      </c>
      <c r="Z576" s="1236">
        <f>C551</f>
        <v>0</v>
      </c>
      <c r="AA576" s="1236"/>
      <c r="AB576" s="1236"/>
      <c r="AC576" s="1236"/>
      <c r="AD576" s="1236"/>
      <c r="AE576" s="1236"/>
      <c r="AF576" s="1236"/>
      <c r="AG576" s="1236"/>
      <c r="AH576" s="1236"/>
      <c r="AI576" s="1236"/>
      <c r="AJ576" s="1236"/>
      <c r="AK576" s="1236"/>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3.35" customHeight="1">
      <c r="A577" s="4"/>
      <c r="B577" t="s">
        <v>1045</v>
      </c>
      <c r="G577" s="1044"/>
      <c r="H577" s="1044"/>
      <c r="I577" s="1044"/>
      <c r="J577" s="1044"/>
      <c r="K577" s="1044"/>
      <c r="L577" s="1044"/>
      <c r="M577" s="1044"/>
      <c r="N577" s="1044"/>
      <c r="O577" s="1044"/>
      <c r="P577" s="1044"/>
      <c r="Q577" s="1044"/>
      <c r="R577" s="1044"/>
      <c r="T577" s="4"/>
      <c r="U577" t="s">
        <v>1045</v>
      </c>
      <c r="Z577" s="1044"/>
      <c r="AA577" s="1044"/>
      <c r="AB577" s="1044"/>
      <c r="AC577" s="1044"/>
      <c r="AD577" s="1044"/>
      <c r="AE577" s="1044"/>
      <c r="AF577" s="1044"/>
      <c r="AG577" s="1044"/>
      <c r="AH577" s="1044"/>
      <c r="AI577" s="1044"/>
      <c r="AJ577" s="1044"/>
      <c r="AK577" s="1044"/>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3.35" customHeight="1">
      <c r="A578" s="4"/>
      <c r="B578" t="s">
        <v>907</v>
      </c>
      <c r="G578" s="1044"/>
      <c r="H578" s="1044"/>
      <c r="I578" s="1044"/>
      <c r="J578" s="1044"/>
      <c r="K578" s="1044"/>
      <c r="L578" s="1044"/>
      <c r="M578" s="1044"/>
      <c r="N578" s="1044"/>
      <c r="O578" s="1044"/>
      <c r="P578" s="1044"/>
      <c r="Q578" s="1044"/>
      <c r="R578" s="1044"/>
      <c r="T578" s="4"/>
      <c r="U578" t="s">
        <v>907</v>
      </c>
      <c r="Z578" s="1045"/>
      <c r="AA578" s="1045"/>
      <c r="AB578" s="1045"/>
      <c r="AC578" s="1045"/>
      <c r="AD578" s="1045"/>
      <c r="AE578" s="1045"/>
      <c r="AF578" s="1045"/>
      <c r="AG578" s="1045"/>
      <c r="AH578" s="1045"/>
      <c r="AI578" s="1045"/>
      <c r="AJ578" s="1045"/>
      <c r="AK578" s="1045"/>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3.35" customHeight="1">
      <c r="A579" s="4"/>
      <c r="B579" t="s">
        <v>1390</v>
      </c>
      <c r="G579" s="1044"/>
      <c r="H579" s="1044"/>
      <c r="I579" s="1044"/>
      <c r="J579" s="1044"/>
      <c r="K579" s="1044"/>
      <c r="L579" s="1044"/>
      <c r="M579" s="1044"/>
      <c r="N579" s="1044"/>
      <c r="O579" s="1044"/>
      <c r="P579" s="1044"/>
      <c r="Q579" s="1044"/>
      <c r="R579" s="1044"/>
      <c r="T579" s="4"/>
      <c r="U579" t="s">
        <v>1390</v>
      </c>
      <c r="Z579" s="1045"/>
      <c r="AA579" s="1045"/>
      <c r="AB579" s="1045"/>
      <c r="AC579" s="1045"/>
      <c r="AD579" s="1045"/>
      <c r="AE579" s="1045"/>
      <c r="AF579" s="1045"/>
      <c r="AG579" s="1045"/>
      <c r="AH579" s="1045"/>
      <c r="AI579" s="1045"/>
      <c r="AJ579" s="1045"/>
      <c r="AK579" s="1045"/>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3.35" customHeight="1">
      <c r="A580" s="4"/>
      <c r="B580" t="s">
        <v>823</v>
      </c>
      <c r="G580" s="1068"/>
      <c r="H580" s="1068"/>
      <c r="I580" s="1068"/>
      <c r="J580" s="1068"/>
      <c r="K580" s="1068"/>
      <c r="L580" s="1068"/>
      <c r="O580" s="827" t="s">
        <v>1054</v>
      </c>
      <c r="P580" s="1093"/>
      <c r="Q580" s="1093"/>
      <c r="R580" s="1093"/>
      <c r="T580" s="4"/>
      <c r="U580" t="s">
        <v>823</v>
      </c>
      <c r="Z580" s="1068"/>
      <c r="AA580" s="1068"/>
      <c r="AB580" s="1068"/>
      <c r="AC580" s="1068"/>
      <c r="AD580" s="1068"/>
      <c r="AE580" s="1068"/>
      <c r="AH580" s="827" t="s">
        <v>1054</v>
      </c>
      <c r="AI580" s="1093"/>
      <c r="AJ580" s="1093"/>
      <c r="AK580" s="1093"/>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3.35" customHeight="1">
      <c r="A581" s="4"/>
      <c r="B581" t="s">
        <v>1393</v>
      </c>
      <c r="H581" s="1044"/>
      <c r="I581" s="1044"/>
      <c r="J581" s="1044"/>
      <c r="K581" s="1044"/>
      <c r="L581" s="1044"/>
      <c r="M581" s="1044"/>
      <c r="N581" s="1044"/>
      <c r="O581" s="1044"/>
      <c r="P581" s="1044"/>
      <c r="Q581" s="1044"/>
      <c r="R581" s="1044"/>
      <c r="T581" s="4"/>
      <c r="U581" t="s">
        <v>1393</v>
      </c>
      <c r="AA581" s="1044"/>
      <c r="AB581" s="1044"/>
      <c r="AC581" s="1044"/>
      <c r="AD581" s="1044"/>
      <c r="AE581" s="1044"/>
      <c r="AF581" s="1044"/>
      <c r="AG581" s="1044"/>
      <c r="AH581" s="1044"/>
      <c r="AI581" s="1044"/>
      <c r="AJ581" s="1044"/>
      <c r="AK581" s="1044"/>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3.35" customHeight="1">
      <c r="A582" s="4"/>
      <c r="B582" t="s">
        <v>1395</v>
      </c>
      <c r="N582" s="1059" t="s">
        <v>712</v>
      </c>
      <c r="O582" s="1059"/>
      <c r="T582" s="4"/>
      <c r="U582" t="s">
        <v>1395</v>
      </c>
      <c r="AG582" s="1059" t="s">
        <v>712</v>
      </c>
      <c r="AH582" s="1059"/>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3.35" customHeight="1">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3.35" customHeight="1">
      <c r="A584" s="54" t="s">
        <v>1378</v>
      </c>
      <c r="B584" t="s">
        <v>1385</v>
      </c>
      <c r="G584" s="1236">
        <f>C552</f>
        <v>0</v>
      </c>
      <c r="H584" s="1236"/>
      <c r="I584" s="1236"/>
      <c r="J584" s="1236"/>
      <c r="K584" s="1236"/>
      <c r="L584" s="1236"/>
      <c r="M584" s="1236"/>
      <c r="N584" s="1236"/>
      <c r="O584" s="1236"/>
      <c r="P584" s="1236"/>
      <c r="Q584" s="1236"/>
      <c r="R584" s="1236"/>
      <c r="T584" s="54" t="s">
        <v>1379</v>
      </c>
      <c r="U584" t="s">
        <v>1385</v>
      </c>
      <c r="Z584" s="1236">
        <f>C553</f>
        <v>0</v>
      </c>
      <c r="AA584" s="1236"/>
      <c r="AB584" s="1236"/>
      <c r="AC584" s="1236"/>
      <c r="AD584" s="1236"/>
      <c r="AE584" s="1236"/>
      <c r="AF584" s="1236"/>
      <c r="AG584" s="1236"/>
      <c r="AH584" s="1236"/>
      <c r="AI584" s="1236"/>
      <c r="AJ584" s="1236"/>
      <c r="AK584" s="1236"/>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3.35" customHeight="1">
      <c r="A585" s="4"/>
      <c r="B585" t="s">
        <v>1045</v>
      </c>
      <c r="G585" s="1044"/>
      <c r="H585" s="1044"/>
      <c r="I585" s="1044"/>
      <c r="J585" s="1044"/>
      <c r="K585" s="1044"/>
      <c r="L585" s="1044"/>
      <c r="M585" s="1044"/>
      <c r="N585" s="1044"/>
      <c r="O585" s="1044"/>
      <c r="P585" s="1044"/>
      <c r="Q585" s="1044"/>
      <c r="R585" s="1044"/>
      <c r="T585" s="4"/>
      <c r="U585" t="s">
        <v>1045</v>
      </c>
      <c r="Z585" s="1044"/>
      <c r="AA585" s="1044"/>
      <c r="AB585" s="1044"/>
      <c r="AC585" s="1044"/>
      <c r="AD585" s="1044"/>
      <c r="AE585" s="1044"/>
      <c r="AF585" s="1044"/>
      <c r="AG585" s="1044"/>
      <c r="AH585" s="1044"/>
      <c r="AI585" s="1044"/>
      <c r="AJ585" s="1044"/>
      <c r="AK585" s="1044"/>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s="5" customFormat="1" ht="13.35" customHeight="1">
      <c r="A586" s="4"/>
      <c r="B586" t="s">
        <v>907</v>
      </c>
      <c r="C586"/>
      <c r="D586"/>
      <c r="E586"/>
      <c r="F586"/>
      <c r="G586" s="1044"/>
      <c r="H586" s="1044"/>
      <c r="I586" s="1044"/>
      <c r="J586" s="1044"/>
      <c r="K586" s="1044"/>
      <c r="L586" s="1044"/>
      <c r="M586" s="1044"/>
      <c r="N586" s="1044"/>
      <c r="O586" s="1044"/>
      <c r="P586" s="1044"/>
      <c r="Q586" s="1044"/>
      <c r="R586" s="1044"/>
      <c r="S586"/>
      <c r="T586" s="4"/>
      <c r="U586" t="s">
        <v>907</v>
      </c>
      <c r="V586"/>
      <c r="W586"/>
      <c r="X586"/>
      <c r="Y586"/>
      <c r="Z586" s="1045"/>
      <c r="AA586" s="1045"/>
      <c r="AB586" s="1045"/>
      <c r="AC586" s="1045"/>
      <c r="AD586" s="1045"/>
      <c r="AE586" s="1045"/>
      <c r="AF586" s="1045"/>
      <c r="AG586" s="1045"/>
      <c r="AH586" s="1045"/>
      <c r="AI586" s="1045"/>
      <c r="AJ586" s="1045"/>
      <c r="AK586" s="1045"/>
      <c r="AL586"/>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t="s">
        <v>1398</v>
      </c>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row>
    <row r="587" spans="1:126" s="5" customFormat="1" ht="13.35" customHeight="1">
      <c r="A587" s="4"/>
      <c r="B587" t="s">
        <v>1390</v>
      </c>
      <c r="C587"/>
      <c r="D587"/>
      <c r="E587"/>
      <c r="F587"/>
      <c r="G587" s="1044"/>
      <c r="H587" s="1044"/>
      <c r="I587" s="1044"/>
      <c r="J587" s="1044"/>
      <c r="K587" s="1044"/>
      <c r="L587" s="1044"/>
      <c r="M587" s="1044"/>
      <c r="N587" s="1044"/>
      <c r="O587" s="1044"/>
      <c r="P587" s="1044"/>
      <c r="Q587" s="1044"/>
      <c r="R587" s="1044"/>
      <c r="S587"/>
      <c r="T587" s="4"/>
      <c r="U587" t="s">
        <v>1390</v>
      </c>
      <c r="V587"/>
      <c r="W587"/>
      <c r="X587"/>
      <c r="Y587"/>
      <c r="Z587" s="1045"/>
      <c r="AA587" s="1045"/>
      <c r="AB587" s="1045"/>
      <c r="AC587" s="1045"/>
      <c r="AD587" s="1045"/>
      <c r="AE587" s="1045"/>
      <c r="AF587" s="1045"/>
      <c r="AG587" s="1045"/>
      <c r="AH587" s="1045"/>
      <c r="AI587" s="1045"/>
      <c r="AJ587" s="1045"/>
      <c r="AK587" s="1045"/>
      <c r="AL58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748" t="s">
        <v>1399</v>
      </c>
      <c r="BO587" s="748"/>
      <c r="BP587" s="748"/>
      <c r="BQ587" s="155"/>
      <c r="BR587" s="749"/>
      <c r="BS587" s="748" t="s">
        <v>1400</v>
      </c>
      <c r="BT587" s="748"/>
      <c r="BU587" s="748"/>
      <c r="BV587" s="155"/>
      <c r="BW587" s="749"/>
      <c r="BX587" s="749" t="s">
        <v>1401</v>
      </c>
      <c r="BY587" s="748"/>
      <c r="BZ587" s="748"/>
      <c r="CA587" s="748"/>
      <c r="CB587" s="748"/>
      <c r="CC587" s="748" t="s">
        <v>1402</v>
      </c>
      <c r="CD587" s="748"/>
      <c r="CE587" s="748"/>
      <c r="CF587" s="748"/>
      <c r="CG587" s="748"/>
      <c r="CH587" s="748" t="s">
        <v>1403</v>
      </c>
      <c r="CI587" s="748"/>
      <c r="CJ587" s="748"/>
      <c r="CK587" s="748"/>
      <c r="CL587" s="748"/>
      <c r="CM587" s="748" t="s">
        <v>1404</v>
      </c>
      <c r="CN587" s="748"/>
      <c r="CO587" s="748"/>
      <c r="CP587" s="155"/>
      <c r="CQ587" s="749"/>
      <c r="CR587" s="37"/>
      <c r="CS587" s="37" t="s">
        <v>1405</v>
      </c>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row>
    <row r="588" spans="1:126" s="5" customFormat="1" ht="13.35" customHeight="1">
      <c r="A588" s="4"/>
      <c r="B588" t="s">
        <v>823</v>
      </c>
      <c r="C588"/>
      <c r="D588"/>
      <c r="E588"/>
      <c r="F588"/>
      <c r="G588" s="1068"/>
      <c r="H588" s="1068"/>
      <c r="I588" s="1068"/>
      <c r="J588" s="1068"/>
      <c r="K588" s="1068"/>
      <c r="L588" s="1068"/>
      <c r="M588"/>
      <c r="N588"/>
      <c r="O588" s="827" t="s">
        <v>1054</v>
      </c>
      <c r="P588" s="1093"/>
      <c r="Q588" s="1093"/>
      <c r="R588" s="1093"/>
      <c r="S588"/>
      <c r="T588" s="4"/>
      <c r="U588" t="s">
        <v>823</v>
      </c>
      <c r="V588"/>
      <c r="W588"/>
      <c r="X588"/>
      <c r="Y588"/>
      <c r="Z588" s="1068"/>
      <c r="AA588" s="1068"/>
      <c r="AB588" s="1068"/>
      <c r="AC588" s="1068"/>
      <c r="AD588" s="1068"/>
      <c r="AE588" s="1068"/>
      <c r="AF588"/>
      <c r="AG588"/>
      <c r="AH588" s="827" t="s">
        <v>1054</v>
      </c>
      <c r="AI588" s="1093"/>
      <c r="AJ588" s="1093"/>
      <c r="AK588" s="1093"/>
      <c r="AL588"/>
      <c r="AM588" s="37"/>
      <c r="AN588" s="37"/>
      <c r="AO588" s="37"/>
      <c r="AP588" s="37"/>
      <c r="AQ588" s="37"/>
      <c r="AR588" s="37"/>
      <c r="AS588" s="37"/>
      <c r="AT588" s="37"/>
      <c r="AU588" s="37"/>
      <c r="AV588" s="37"/>
      <c r="AW588" s="37"/>
      <c r="AX588" s="37"/>
      <c r="AY588" s="37"/>
      <c r="AZ588" s="37" t="s">
        <v>1406</v>
      </c>
      <c r="BA588" s="37"/>
      <c r="BB588" s="37"/>
      <c r="BC588" s="37"/>
      <c r="BD588" s="37"/>
      <c r="BE588" s="180" t="s">
        <v>1407</v>
      </c>
      <c r="BF588" s="181"/>
      <c r="BG588" s="1192"/>
      <c r="BH588" s="1195"/>
      <c r="BI588" s="180" t="s">
        <v>1408</v>
      </c>
      <c r="BJ588" s="181"/>
      <c r="BK588" s="1192"/>
      <c r="BL588" s="1195"/>
      <c r="BM588" s="37"/>
      <c r="BN588" s="1192">
        <f t="shared" ref="BN588:BN612" si="1">IF(B692="SRO/Studio",G692,0)</f>
        <v>22</v>
      </c>
      <c r="BO588" s="1193"/>
      <c r="BP588" s="1193"/>
      <c r="BQ588" s="1193"/>
      <c r="BR588" s="1194"/>
      <c r="BS588" s="1192">
        <f t="shared" ref="BS588:BS612" si="2">IF(B692="1 Bedroom",G692,0)</f>
        <v>0</v>
      </c>
      <c r="BT588" s="1193"/>
      <c r="BU588" s="1193"/>
      <c r="BV588" s="1193"/>
      <c r="BW588" s="1195"/>
      <c r="BX588" s="1192">
        <f t="shared" ref="BX588:BX612" si="3">IF(B692="2 Bedrooms",G692,0)</f>
        <v>0</v>
      </c>
      <c r="BY588" s="1193"/>
      <c r="BZ588" s="1193"/>
      <c r="CA588" s="1193"/>
      <c r="CB588" s="1195"/>
      <c r="CC588" s="1192">
        <f t="shared" ref="CC588:CC612" si="4">IF(B692="3 Bedrooms",G692,0)</f>
        <v>0</v>
      </c>
      <c r="CD588" s="1193"/>
      <c r="CE588" s="1193"/>
      <c r="CF588" s="1193"/>
      <c r="CG588" s="1195"/>
      <c r="CH588" s="1192">
        <f t="shared" ref="CH588:CH612" si="5">IF(B692="4 Bedrooms",G692,0)</f>
        <v>0</v>
      </c>
      <c r="CI588" s="1193"/>
      <c r="CJ588" s="1193"/>
      <c r="CK588" s="1193"/>
      <c r="CL588" s="1195"/>
      <c r="CM588" s="1434">
        <f t="shared" ref="CM588:CM612" si="6">IF(B692="5 Bedrooms",G692,0)</f>
        <v>0</v>
      </c>
      <c r="CN588" s="1435"/>
      <c r="CO588" s="1435"/>
      <c r="CP588" s="1435"/>
      <c r="CQ588" s="1194"/>
      <c r="CR588" s="37"/>
      <c r="CS588" s="748" t="s">
        <v>1399</v>
      </c>
      <c r="CT588" s="748"/>
      <c r="CU588" s="748"/>
      <c r="CV588" s="748"/>
      <c r="CW588" s="748"/>
      <c r="CX588" s="748" t="s">
        <v>1400</v>
      </c>
      <c r="CY588" s="748"/>
      <c r="CZ588" s="155"/>
      <c r="DA588" s="156"/>
      <c r="DB588" s="749"/>
      <c r="DC588" s="748" t="s">
        <v>1401</v>
      </c>
      <c r="DD588" s="748"/>
      <c r="DE588" s="748"/>
      <c r="DF588" s="748"/>
      <c r="DG588" s="748"/>
      <c r="DH588" s="748" t="s">
        <v>1402</v>
      </c>
      <c r="DI588" s="748"/>
      <c r="DJ588" s="748"/>
      <c r="DK588" s="748"/>
      <c r="DL588" s="748"/>
      <c r="DM588" s="748" t="s">
        <v>1403</v>
      </c>
      <c r="DN588" s="748"/>
      <c r="DO588" s="748"/>
      <c r="DP588" s="748"/>
      <c r="DQ588" s="748"/>
      <c r="DR588" s="748" t="s">
        <v>1404</v>
      </c>
      <c r="DS588" s="748"/>
      <c r="DT588" s="748"/>
      <c r="DU588" s="748"/>
      <c r="DV588" s="748"/>
    </row>
    <row r="589" spans="1:126" s="5" customFormat="1" ht="13.35" customHeight="1">
      <c r="A589" s="4"/>
      <c r="B589" t="s">
        <v>1393</v>
      </c>
      <c r="C589"/>
      <c r="D589"/>
      <c r="E589"/>
      <c r="F589"/>
      <c r="G589"/>
      <c r="H589" s="1044"/>
      <c r="I589" s="1044"/>
      <c r="J589" s="1044"/>
      <c r="K589" s="1044"/>
      <c r="L589" s="1044"/>
      <c r="M589" s="1044"/>
      <c r="N589" s="1044"/>
      <c r="O589" s="1044"/>
      <c r="P589" s="1044"/>
      <c r="Q589" s="1044"/>
      <c r="R589" s="1044"/>
      <c r="S589"/>
      <c r="T589" s="4"/>
      <c r="U589" t="s">
        <v>1393</v>
      </c>
      <c r="V589"/>
      <c r="W589"/>
      <c r="X589"/>
      <c r="Y589"/>
      <c r="Z589"/>
      <c r="AA589" s="1044"/>
      <c r="AB589" s="1044"/>
      <c r="AC589" s="1044"/>
      <c r="AD589" s="1044"/>
      <c r="AE589" s="1044"/>
      <c r="AF589" s="1044"/>
      <c r="AG589" s="1044"/>
      <c r="AH589" s="1044"/>
      <c r="AI589" s="1044"/>
      <c r="AJ589" s="1044"/>
      <c r="AK589" s="1044"/>
      <c r="AL589"/>
      <c r="AM589" s="37"/>
      <c r="AN589" s="37"/>
      <c r="AO589" s="37"/>
      <c r="AP589" s="37"/>
      <c r="AQ589" s="37"/>
      <c r="AR589" s="37"/>
      <c r="AS589" s="37"/>
      <c r="AT589" s="37"/>
      <c r="AU589" s="37"/>
      <c r="AV589" s="37"/>
      <c r="AW589" s="37"/>
      <c r="AX589" s="37"/>
      <c r="AY589" s="37"/>
      <c r="AZ589" s="37" t="s">
        <v>1400</v>
      </c>
      <c r="BA589" s="37"/>
      <c r="BB589" s="37"/>
      <c r="BC589" s="37"/>
      <c r="BD589" s="37"/>
      <c r="BE589" s="1192">
        <f>IF(AND(AH692&lt;=0.5,AH692&gt;=0.36),1,0)</f>
        <v>0</v>
      </c>
      <c r="BF589" s="1195"/>
      <c r="BG589" s="1192">
        <f t="shared" ref="BG589:BG613" si="7">IF(BE589=1,G692,0)</f>
        <v>0</v>
      </c>
      <c r="BH589" s="1195"/>
      <c r="BI589" s="1192">
        <f>IF(AND(AH692&lt;=0.35,AH692&gt;0),1,0)</f>
        <v>1</v>
      </c>
      <c r="BJ589" s="1195"/>
      <c r="BK589" s="1192">
        <f t="shared" ref="BK589:BK613" si="8">IF(BI589=1,G692,0)</f>
        <v>22</v>
      </c>
      <c r="BL589" s="1195"/>
      <c r="BM589" s="37"/>
      <c r="BN589" s="1192">
        <f t="shared" si="1"/>
        <v>21</v>
      </c>
      <c r="BO589" s="1193"/>
      <c r="BP589" s="1193"/>
      <c r="BQ589" s="1193"/>
      <c r="BR589" s="1194"/>
      <c r="BS589" s="1192">
        <f t="shared" si="2"/>
        <v>0</v>
      </c>
      <c r="BT589" s="1193"/>
      <c r="BU589" s="1193"/>
      <c r="BV589" s="1193"/>
      <c r="BW589" s="1195"/>
      <c r="BX589" s="1192">
        <f t="shared" si="3"/>
        <v>0</v>
      </c>
      <c r="BY589" s="1193"/>
      <c r="BZ589" s="1193"/>
      <c r="CA589" s="1193"/>
      <c r="CB589" s="1195"/>
      <c r="CC589" s="1192">
        <f t="shared" si="4"/>
        <v>0</v>
      </c>
      <c r="CD589" s="1193"/>
      <c r="CE589" s="1193"/>
      <c r="CF589" s="1193"/>
      <c r="CG589" s="1195"/>
      <c r="CH589" s="1192">
        <f t="shared" si="5"/>
        <v>0</v>
      </c>
      <c r="CI589" s="1193"/>
      <c r="CJ589" s="1193"/>
      <c r="CK589" s="1193"/>
      <c r="CL589" s="1195"/>
      <c r="CM589" s="1192">
        <f t="shared" si="6"/>
        <v>0</v>
      </c>
      <c r="CN589" s="1193"/>
      <c r="CO589" s="1193"/>
      <c r="CP589" s="1193"/>
      <c r="CQ589" s="1195"/>
      <c r="CR589" s="37"/>
      <c r="CS589" s="1431">
        <f>IF(AND(B692="SRO/Studio",AH692&lt;=0.3),G692,0)</f>
        <v>22</v>
      </c>
      <c r="CT589" s="1432"/>
      <c r="CU589" s="1432"/>
      <c r="CV589" s="1432"/>
      <c r="CW589" s="1433"/>
      <c r="CX589" s="1431">
        <f>IF(AND(B692="1 Bedroom",AH692&lt;=0.3),G692,0)</f>
        <v>0</v>
      </c>
      <c r="CY589" s="1432"/>
      <c r="CZ589" s="1432"/>
      <c r="DA589" s="1432"/>
      <c r="DB589" s="1433"/>
      <c r="DC589" s="1431">
        <f>IF(AND(B692="2 Bedrooms",AH692&lt;=0.3),G692,0)</f>
        <v>0</v>
      </c>
      <c r="DD589" s="1432"/>
      <c r="DE589" s="1432"/>
      <c r="DF589" s="1432"/>
      <c r="DG589" s="1433"/>
      <c r="DH589" s="1431">
        <f>IF(AND(B692="3 Bedrooms",AH692&lt;=0.3),G692,0)</f>
        <v>0</v>
      </c>
      <c r="DI589" s="1432"/>
      <c r="DJ589" s="1432"/>
      <c r="DK589" s="1432"/>
      <c r="DL589" s="1433"/>
      <c r="DM589" s="1431">
        <f>IF(AND(B692="4 Bedrooms",AH692&lt;=0.3),G692,0)</f>
        <v>0</v>
      </c>
      <c r="DN589" s="1432"/>
      <c r="DO589" s="1432"/>
      <c r="DP589" s="1432"/>
      <c r="DQ589" s="1433"/>
      <c r="DR589" s="1431">
        <f>IF(AND(B692="5 Bedrooms",AH692&lt;=0.3),G692,0)</f>
        <v>0</v>
      </c>
      <c r="DS589" s="1432"/>
      <c r="DT589" s="1432"/>
      <c r="DU589" s="1432"/>
      <c r="DV589" s="1433"/>
    </row>
    <row r="590" spans="1:126" s="5" customFormat="1" ht="13.35" customHeight="1">
      <c r="A590" s="4"/>
      <c r="B590" t="s">
        <v>1395</v>
      </c>
      <c r="C590"/>
      <c r="D590"/>
      <c r="E590"/>
      <c r="F590"/>
      <c r="G590"/>
      <c r="H590"/>
      <c r="I590"/>
      <c r="J590"/>
      <c r="K590"/>
      <c r="L590"/>
      <c r="M590"/>
      <c r="N590" s="1059" t="s">
        <v>712</v>
      </c>
      <c r="O590" s="1059"/>
      <c r="P590"/>
      <c r="Q590"/>
      <c r="R590"/>
      <c r="S590"/>
      <c r="T590" s="4"/>
      <c r="U590" t="s">
        <v>1395</v>
      </c>
      <c r="V590"/>
      <c r="W590"/>
      <c r="X590"/>
      <c r="Y590"/>
      <c r="Z590"/>
      <c r="AA590"/>
      <c r="AB590"/>
      <c r="AC590"/>
      <c r="AD590"/>
      <c r="AE590"/>
      <c r="AF590"/>
      <c r="AG590" s="1059" t="s">
        <v>712</v>
      </c>
      <c r="AH590" s="1059"/>
      <c r="AI590"/>
      <c r="AJ590"/>
      <c r="AK590"/>
      <c r="AL590"/>
      <c r="AM590" s="37"/>
      <c r="AN590" s="37"/>
      <c r="AO590" s="37"/>
      <c r="AP590" s="37"/>
      <c r="AQ590" s="37"/>
      <c r="AR590" s="37"/>
      <c r="AS590" s="37"/>
      <c r="AT590" s="37"/>
      <c r="AU590" s="37"/>
      <c r="AV590" s="37"/>
      <c r="AW590" s="37"/>
      <c r="AX590" s="37"/>
      <c r="AY590" s="37"/>
      <c r="AZ590" s="37" t="s">
        <v>1401</v>
      </c>
      <c r="BA590" s="37"/>
      <c r="BB590" s="37"/>
      <c r="BC590" s="37"/>
      <c r="BD590" s="37"/>
      <c r="BE590" s="1192">
        <f t="shared" ref="BE590:BE613" si="9">IF(AND(AH693&lt;=0.5,AH693&gt;=0.36),1,0)</f>
        <v>1</v>
      </c>
      <c r="BF590" s="1195"/>
      <c r="BG590" s="1192">
        <f t="shared" si="7"/>
        <v>21</v>
      </c>
      <c r="BH590" s="1195"/>
      <c r="BI590" s="1192">
        <f t="shared" ref="BI590:BI613" si="10">IF(AND(AH693&lt;=0.35,AH693&gt;0),1,0)</f>
        <v>0</v>
      </c>
      <c r="BJ590" s="1195"/>
      <c r="BK590" s="1192">
        <f t="shared" si="8"/>
        <v>0</v>
      </c>
      <c r="BL590" s="1195"/>
      <c r="BM590" s="37"/>
      <c r="BN590" s="1192">
        <f t="shared" si="1"/>
        <v>0</v>
      </c>
      <c r="BO590" s="1193"/>
      <c r="BP590" s="1193"/>
      <c r="BQ590" s="1193"/>
      <c r="BR590" s="1194"/>
      <c r="BS590" s="1192">
        <f t="shared" si="2"/>
        <v>0</v>
      </c>
      <c r="BT590" s="1193"/>
      <c r="BU590" s="1193"/>
      <c r="BV590" s="1193"/>
      <c r="BW590" s="1195"/>
      <c r="BX590" s="1192">
        <f t="shared" si="3"/>
        <v>0</v>
      </c>
      <c r="BY590" s="1193"/>
      <c r="BZ590" s="1193"/>
      <c r="CA590" s="1193"/>
      <c r="CB590" s="1195"/>
      <c r="CC590" s="1192">
        <f t="shared" si="4"/>
        <v>0</v>
      </c>
      <c r="CD590" s="1193"/>
      <c r="CE590" s="1193"/>
      <c r="CF590" s="1193"/>
      <c r="CG590" s="1195"/>
      <c r="CH590" s="1192">
        <f t="shared" si="5"/>
        <v>0</v>
      </c>
      <c r="CI590" s="1193"/>
      <c r="CJ590" s="1193"/>
      <c r="CK590" s="1193"/>
      <c r="CL590" s="1195"/>
      <c r="CM590" s="1192">
        <f t="shared" si="6"/>
        <v>0</v>
      </c>
      <c r="CN590" s="1193"/>
      <c r="CO590" s="1193"/>
      <c r="CP590" s="1193"/>
      <c r="CQ590" s="1195"/>
      <c r="CR590" s="37"/>
      <c r="CS590" s="1431">
        <f t="shared" ref="CS590:CS613" si="11">IF(AND(B693="SRO/Studio",AH693&lt;=0.3),G693,0)</f>
        <v>0</v>
      </c>
      <c r="CT590" s="1432"/>
      <c r="CU590" s="1432"/>
      <c r="CV590" s="1432"/>
      <c r="CW590" s="1433"/>
      <c r="CX590" s="1431">
        <f t="shared" ref="CX590:CX613" si="12">IF(AND(B693="1 Bedroom",AH693&lt;=0.3),G693,0)</f>
        <v>0</v>
      </c>
      <c r="CY590" s="1432"/>
      <c r="CZ590" s="1432"/>
      <c r="DA590" s="1432"/>
      <c r="DB590" s="1433"/>
      <c r="DC590" s="1431">
        <f t="shared" ref="DC590:DC613" si="13">IF(AND(B693="2 Bedrooms",AH693&lt;=0.3),G693,0)</f>
        <v>0</v>
      </c>
      <c r="DD590" s="1432"/>
      <c r="DE590" s="1432"/>
      <c r="DF590" s="1432"/>
      <c r="DG590" s="1433"/>
      <c r="DH590" s="1431">
        <f t="shared" ref="DH590:DH613" si="14">IF(AND(B693="3 Bedrooms",AH693&lt;=0.3),G693,0)</f>
        <v>0</v>
      </c>
      <c r="DI590" s="1432"/>
      <c r="DJ590" s="1432"/>
      <c r="DK590" s="1432"/>
      <c r="DL590" s="1433"/>
      <c r="DM590" s="1431">
        <f t="shared" ref="DM590:DM613" si="15">IF(AND(B693="4 Bedrooms",AH693&lt;=0.3),G693,0)</f>
        <v>0</v>
      </c>
      <c r="DN590" s="1432"/>
      <c r="DO590" s="1432"/>
      <c r="DP590" s="1432"/>
      <c r="DQ590" s="1433"/>
      <c r="DR590" s="1431">
        <f t="shared" ref="DR590:DR613" si="16">IF(AND(B693="5 Bedrooms",AH693&lt;=0.3),G693,0)</f>
        <v>0</v>
      </c>
      <c r="DS590" s="1432"/>
      <c r="DT590" s="1432"/>
      <c r="DU590" s="1432"/>
      <c r="DV590" s="1433"/>
    </row>
    <row r="591" spans="1:126" ht="13.35" customHeight="1">
      <c r="AZ591" s="37" t="s">
        <v>1402</v>
      </c>
      <c r="BA591" s="37"/>
      <c r="BB591" s="37"/>
      <c r="BC591" s="37"/>
      <c r="BD591" s="37"/>
      <c r="BE591" s="1192">
        <f t="shared" si="9"/>
        <v>0</v>
      </c>
      <c r="BF591" s="1195"/>
      <c r="BG591" s="1192">
        <f t="shared" si="7"/>
        <v>0</v>
      </c>
      <c r="BH591" s="1195"/>
      <c r="BI591" s="1192">
        <f t="shared" si="10"/>
        <v>0</v>
      </c>
      <c r="BJ591" s="1195"/>
      <c r="BK591" s="1192">
        <f t="shared" si="8"/>
        <v>0</v>
      </c>
      <c r="BL591" s="1195"/>
      <c r="BN591" s="1192">
        <f t="shared" si="1"/>
        <v>0</v>
      </c>
      <c r="BO591" s="1193"/>
      <c r="BP591" s="1193"/>
      <c r="BQ591" s="1193"/>
      <c r="BR591" s="1194"/>
      <c r="BS591" s="1192">
        <f t="shared" si="2"/>
        <v>0</v>
      </c>
      <c r="BT591" s="1193"/>
      <c r="BU591" s="1193"/>
      <c r="BV591" s="1193"/>
      <c r="BW591" s="1195"/>
      <c r="BX591" s="1192">
        <f t="shared" si="3"/>
        <v>0</v>
      </c>
      <c r="BY591" s="1193"/>
      <c r="BZ591" s="1193"/>
      <c r="CA591" s="1193"/>
      <c r="CB591" s="1195"/>
      <c r="CC591" s="1192">
        <f t="shared" si="4"/>
        <v>0</v>
      </c>
      <c r="CD591" s="1193"/>
      <c r="CE591" s="1193"/>
      <c r="CF591" s="1193"/>
      <c r="CG591" s="1195"/>
      <c r="CH591" s="1192">
        <f t="shared" si="5"/>
        <v>0</v>
      </c>
      <c r="CI591" s="1193"/>
      <c r="CJ591" s="1193"/>
      <c r="CK591" s="1193"/>
      <c r="CL591" s="1195"/>
      <c r="CM591" s="1192">
        <f t="shared" si="6"/>
        <v>0</v>
      </c>
      <c r="CN591" s="1193"/>
      <c r="CO591" s="1193"/>
      <c r="CP591" s="1193"/>
      <c r="CQ591" s="1195"/>
      <c r="CS591" s="1431">
        <f t="shared" si="11"/>
        <v>0</v>
      </c>
      <c r="CT591" s="1432"/>
      <c r="CU591" s="1432"/>
      <c r="CV591" s="1432"/>
      <c r="CW591" s="1433"/>
      <c r="CX591" s="1431">
        <f t="shared" si="12"/>
        <v>0</v>
      </c>
      <c r="CY591" s="1432"/>
      <c r="CZ591" s="1432"/>
      <c r="DA591" s="1432"/>
      <c r="DB591" s="1433"/>
      <c r="DC591" s="1431">
        <f t="shared" si="13"/>
        <v>0</v>
      </c>
      <c r="DD591" s="1432"/>
      <c r="DE591" s="1432"/>
      <c r="DF591" s="1432"/>
      <c r="DG591" s="1433"/>
      <c r="DH591" s="1431">
        <f t="shared" si="14"/>
        <v>0</v>
      </c>
      <c r="DI591" s="1432"/>
      <c r="DJ591" s="1432"/>
      <c r="DK591" s="1432"/>
      <c r="DL591" s="1433"/>
      <c r="DM591" s="1431">
        <f t="shared" si="15"/>
        <v>0</v>
      </c>
      <c r="DN591" s="1432"/>
      <c r="DO591" s="1432"/>
      <c r="DP591" s="1432"/>
      <c r="DQ591" s="1433"/>
      <c r="DR591" s="1431">
        <f t="shared" si="16"/>
        <v>0</v>
      </c>
      <c r="DS591" s="1432"/>
      <c r="DT591" s="1432"/>
      <c r="DU591" s="1432"/>
      <c r="DV591" s="1433"/>
    </row>
    <row r="592" spans="1:126" ht="13.35" customHeight="1">
      <c r="A592" s="54" t="s">
        <v>1380</v>
      </c>
      <c r="B592" t="s">
        <v>1385</v>
      </c>
      <c r="G592" s="1236">
        <f>C554</f>
        <v>0</v>
      </c>
      <c r="H592" s="1236"/>
      <c r="I592" s="1236"/>
      <c r="J592" s="1236"/>
      <c r="K592" s="1236"/>
      <c r="L592" s="1236"/>
      <c r="M592" s="1236"/>
      <c r="N592" s="1236"/>
      <c r="O592" s="1236"/>
      <c r="P592" s="1236"/>
      <c r="Q592" s="1236"/>
      <c r="R592" s="1236"/>
      <c r="T592" s="54" t="s">
        <v>1381</v>
      </c>
      <c r="U592" t="s">
        <v>1385</v>
      </c>
      <c r="Z592" s="1236">
        <f>C555</f>
        <v>0</v>
      </c>
      <c r="AA592" s="1236"/>
      <c r="AB592" s="1236"/>
      <c r="AC592" s="1236"/>
      <c r="AD592" s="1236"/>
      <c r="AE592" s="1236"/>
      <c r="AF592" s="1236"/>
      <c r="AG592" s="1236"/>
      <c r="AH592" s="1236"/>
      <c r="AI592" s="1236"/>
      <c r="AJ592" s="1236"/>
      <c r="AK592" s="1236"/>
      <c r="AZ592" s="37" t="s">
        <v>1409</v>
      </c>
      <c r="BA592" s="37"/>
      <c r="BB592" s="37"/>
      <c r="BC592" s="37"/>
      <c r="BD592" s="37"/>
      <c r="BE592" s="1192">
        <f t="shared" si="9"/>
        <v>0</v>
      </c>
      <c r="BF592" s="1195"/>
      <c r="BG592" s="1192">
        <f t="shared" si="7"/>
        <v>0</v>
      </c>
      <c r="BH592" s="1195"/>
      <c r="BI592" s="1192">
        <f t="shared" si="10"/>
        <v>0</v>
      </c>
      <c r="BJ592" s="1195"/>
      <c r="BK592" s="1192">
        <f t="shared" si="8"/>
        <v>0</v>
      </c>
      <c r="BL592" s="1195"/>
      <c r="BN592" s="1192">
        <f t="shared" si="1"/>
        <v>0</v>
      </c>
      <c r="BO592" s="1193"/>
      <c r="BP592" s="1193"/>
      <c r="BQ592" s="1193"/>
      <c r="BR592" s="1194"/>
      <c r="BS592" s="1192">
        <f t="shared" si="2"/>
        <v>0</v>
      </c>
      <c r="BT592" s="1193"/>
      <c r="BU592" s="1193"/>
      <c r="BV592" s="1193"/>
      <c r="BW592" s="1195"/>
      <c r="BX592" s="1192">
        <f t="shared" si="3"/>
        <v>0</v>
      </c>
      <c r="BY592" s="1193"/>
      <c r="BZ592" s="1193"/>
      <c r="CA592" s="1193"/>
      <c r="CB592" s="1195"/>
      <c r="CC592" s="1192">
        <f t="shared" si="4"/>
        <v>0</v>
      </c>
      <c r="CD592" s="1193"/>
      <c r="CE592" s="1193"/>
      <c r="CF592" s="1193"/>
      <c r="CG592" s="1195"/>
      <c r="CH592" s="1192">
        <f t="shared" si="5"/>
        <v>0</v>
      </c>
      <c r="CI592" s="1193"/>
      <c r="CJ592" s="1193"/>
      <c r="CK592" s="1193"/>
      <c r="CL592" s="1195"/>
      <c r="CM592" s="1192">
        <f t="shared" si="6"/>
        <v>0</v>
      </c>
      <c r="CN592" s="1193"/>
      <c r="CO592" s="1193"/>
      <c r="CP592" s="1193"/>
      <c r="CQ592" s="1195"/>
      <c r="CS592" s="1431">
        <f t="shared" si="11"/>
        <v>0</v>
      </c>
      <c r="CT592" s="1432"/>
      <c r="CU592" s="1432"/>
      <c r="CV592" s="1432"/>
      <c r="CW592" s="1433"/>
      <c r="CX592" s="1431">
        <f t="shared" si="12"/>
        <v>0</v>
      </c>
      <c r="CY592" s="1432"/>
      <c r="CZ592" s="1432"/>
      <c r="DA592" s="1432"/>
      <c r="DB592" s="1433"/>
      <c r="DC592" s="1431">
        <f t="shared" si="13"/>
        <v>0</v>
      </c>
      <c r="DD592" s="1432"/>
      <c r="DE592" s="1432"/>
      <c r="DF592" s="1432"/>
      <c r="DG592" s="1433"/>
      <c r="DH592" s="1431">
        <f t="shared" si="14"/>
        <v>0</v>
      </c>
      <c r="DI592" s="1432"/>
      <c r="DJ592" s="1432"/>
      <c r="DK592" s="1432"/>
      <c r="DL592" s="1433"/>
      <c r="DM592" s="1431">
        <f t="shared" si="15"/>
        <v>0</v>
      </c>
      <c r="DN592" s="1432"/>
      <c r="DO592" s="1432"/>
      <c r="DP592" s="1432"/>
      <c r="DQ592" s="1433"/>
      <c r="DR592" s="1431">
        <f t="shared" si="16"/>
        <v>0</v>
      </c>
      <c r="DS592" s="1432"/>
      <c r="DT592" s="1432"/>
      <c r="DU592" s="1432"/>
      <c r="DV592" s="1433"/>
    </row>
    <row r="593" spans="1:126" ht="13.35" customHeight="1">
      <c r="A593" s="4"/>
      <c r="B593" t="s">
        <v>1045</v>
      </c>
      <c r="G593" s="1044"/>
      <c r="H593" s="1044"/>
      <c r="I593" s="1044"/>
      <c r="J593" s="1044"/>
      <c r="K593" s="1044"/>
      <c r="L593" s="1044"/>
      <c r="M593" s="1044"/>
      <c r="N593" s="1044"/>
      <c r="O593" s="1044"/>
      <c r="P593" s="1044"/>
      <c r="Q593" s="1044"/>
      <c r="R593" s="1044"/>
      <c r="T593" s="4"/>
      <c r="U593" t="s">
        <v>1045</v>
      </c>
      <c r="Z593" s="1044"/>
      <c r="AA593" s="1044"/>
      <c r="AB593" s="1044"/>
      <c r="AC593" s="1044"/>
      <c r="AD593" s="1044"/>
      <c r="AE593" s="1044"/>
      <c r="AF593" s="1044"/>
      <c r="AG593" s="1044"/>
      <c r="AH593" s="1044"/>
      <c r="AI593" s="1044"/>
      <c r="AJ593" s="1044"/>
      <c r="AK593" s="1044"/>
      <c r="AZ593" s="37" t="s">
        <v>1404</v>
      </c>
      <c r="BA593" s="37"/>
      <c r="BB593" s="37"/>
      <c r="BC593" s="37"/>
      <c r="BD593" s="37"/>
      <c r="BE593" s="1192">
        <f t="shared" si="9"/>
        <v>0</v>
      </c>
      <c r="BF593" s="1195"/>
      <c r="BG593" s="1192">
        <f t="shared" si="7"/>
        <v>0</v>
      </c>
      <c r="BH593" s="1195"/>
      <c r="BI593" s="1192">
        <f t="shared" si="10"/>
        <v>0</v>
      </c>
      <c r="BJ593" s="1195"/>
      <c r="BK593" s="1192">
        <f t="shared" si="8"/>
        <v>0</v>
      </c>
      <c r="BL593" s="1195"/>
      <c r="BN593" s="1192">
        <f t="shared" si="1"/>
        <v>0</v>
      </c>
      <c r="BO593" s="1193"/>
      <c r="BP593" s="1193"/>
      <c r="BQ593" s="1193"/>
      <c r="BR593" s="1194"/>
      <c r="BS593" s="1192">
        <f t="shared" si="2"/>
        <v>0</v>
      </c>
      <c r="BT593" s="1193"/>
      <c r="BU593" s="1193"/>
      <c r="BV593" s="1193"/>
      <c r="BW593" s="1195"/>
      <c r="BX593" s="1192">
        <f t="shared" si="3"/>
        <v>0</v>
      </c>
      <c r="BY593" s="1193"/>
      <c r="BZ593" s="1193"/>
      <c r="CA593" s="1193"/>
      <c r="CB593" s="1195"/>
      <c r="CC593" s="1192">
        <f t="shared" si="4"/>
        <v>0</v>
      </c>
      <c r="CD593" s="1193"/>
      <c r="CE593" s="1193"/>
      <c r="CF593" s="1193"/>
      <c r="CG593" s="1195"/>
      <c r="CH593" s="1192">
        <f t="shared" si="5"/>
        <v>0</v>
      </c>
      <c r="CI593" s="1193"/>
      <c r="CJ593" s="1193"/>
      <c r="CK593" s="1193"/>
      <c r="CL593" s="1195"/>
      <c r="CM593" s="1192">
        <f t="shared" si="6"/>
        <v>0</v>
      </c>
      <c r="CN593" s="1193"/>
      <c r="CO593" s="1193"/>
      <c r="CP593" s="1193"/>
      <c r="CQ593" s="1195"/>
      <c r="CS593" s="1431">
        <f t="shared" si="11"/>
        <v>0</v>
      </c>
      <c r="CT593" s="1432"/>
      <c r="CU593" s="1432"/>
      <c r="CV593" s="1432"/>
      <c r="CW593" s="1433"/>
      <c r="CX593" s="1431">
        <f t="shared" si="12"/>
        <v>0</v>
      </c>
      <c r="CY593" s="1432"/>
      <c r="CZ593" s="1432"/>
      <c r="DA593" s="1432"/>
      <c r="DB593" s="1433"/>
      <c r="DC593" s="1431">
        <f t="shared" si="13"/>
        <v>0</v>
      </c>
      <c r="DD593" s="1432"/>
      <c r="DE593" s="1432"/>
      <c r="DF593" s="1432"/>
      <c r="DG593" s="1433"/>
      <c r="DH593" s="1431">
        <f t="shared" si="14"/>
        <v>0</v>
      </c>
      <c r="DI593" s="1432"/>
      <c r="DJ593" s="1432"/>
      <c r="DK593" s="1432"/>
      <c r="DL593" s="1433"/>
      <c r="DM593" s="1431">
        <f t="shared" si="15"/>
        <v>0</v>
      </c>
      <c r="DN593" s="1432"/>
      <c r="DO593" s="1432"/>
      <c r="DP593" s="1432"/>
      <c r="DQ593" s="1433"/>
      <c r="DR593" s="1431">
        <f t="shared" si="16"/>
        <v>0</v>
      </c>
      <c r="DS593" s="1432"/>
      <c r="DT593" s="1432"/>
      <c r="DU593" s="1432"/>
      <c r="DV593" s="1433"/>
    </row>
    <row r="594" spans="1:126" ht="13.35" customHeight="1">
      <c r="A594" s="4"/>
      <c r="B594" t="s">
        <v>907</v>
      </c>
      <c r="G594" s="1044"/>
      <c r="H594" s="1044"/>
      <c r="I594" s="1044"/>
      <c r="J594" s="1044"/>
      <c r="K594" s="1044"/>
      <c r="L594" s="1044"/>
      <c r="M594" s="1044"/>
      <c r="N594" s="1044"/>
      <c r="O594" s="1044"/>
      <c r="P594" s="1044"/>
      <c r="Q594" s="1044"/>
      <c r="R594" s="1044"/>
      <c r="T594" s="4"/>
      <c r="U594" t="s">
        <v>907</v>
      </c>
      <c r="Z594" s="1045"/>
      <c r="AA594" s="1045"/>
      <c r="AB594" s="1045"/>
      <c r="AC594" s="1045"/>
      <c r="AD594" s="1045"/>
      <c r="AE594" s="1045"/>
      <c r="AF594" s="1045"/>
      <c r="AG594" s="1045"/>
      <c r="AH594" s="1045"/>
      <c r="AI594" s="1045"/>
      <c r="AJ594" s="1045"/>
      <c r="AK594" s="1045"/>
      <c r="AZ594" s="37"/>
      <c r="BA594" s="37"/>
      <c r="BB594" s="37"/>
      <c r="BC594" s="37"/>
      <c r="BD594" s="37"/>
      <c r="BE594" s="1192">
        <f t="shared" si="9"/>
        <v>0</v>
      </c>
      <c r="BF594" s="1195"/>
      <c r="BG594" s="1192">
        <f t="shared" si="7"/>
        <v>0</v>
      </c>
      <c r="BH594" s="1195"/>
      <c r="BI594" s="1192">
        <f t="shared" si="10"/>
        <v>0</v>
      </c>
      <c r="BJ594" s="1195"/>
      <c r="BK594" s="1192">
        <f t="shared" si="8"/>
        <v>0</v>
      </c>
      <c r="BL594" s="1195"/>
      <c r="BN594" s="1192">
        <f t="shared" si="1"/>
        <v>0</v>
      </c>
      <c r="BO594" s="1193"/>
      <c r="BP594" s="1193"/>
      <c r="BQ594" s="1193"/>
      <c r="BR594" s="1194"/>
      <c r="BS594" s="1192">
        <f t="shared" si="2"/>
        <v>0</v>
      </c>
      <c r="BT594" s="1193"/>
      <c r="BU594" s="1193"/>
      <c r="BV594" s="1193"/>
      <c r="BW594" s="1195"/>
      <c r="BX594" s="1192">
        <f t="shared" si="3"/>
        <v>0</v>
      </c>
      <c r="BY594" s="1193"/>
      <c r="BZ594" s="1193"/>
      <c r="CA594" s="1193"/>
      <c r="CB594" s="1195"/>
      <c r="CC594" s="1192">
        <f t="shared" si="4"/>
        <v>0</v>
      </c>
      <c r="CD594" s="1193"/>
      <c r="CE594" s="1193"/>
      <c r="CF594" s="1193"/>
      <c r="CG594" s="1195"/>
      <c r="CH594" s="1192">
        <f t="shared" si="5"/>
        <v>0</v>
      </c>
      <c r="CI594" s="1193"/>
      <c r="CJ594" s="1193"/>
      <c r="CK594" s="1193"/>
      <c r="CL594" s="1195"/>
      <c r="CM594" s="1192">
        <f t="shared" si="6"/>
        <v>0</v>
      </c>
      <c r="CN594" s="1193"/>
      <c r="CO594" s="1193"/>
      <c r="CP594" s="1193"/>
      <c r="CQ594" s="1195"/>
      <c r="CS594" s="1431">
        <f t="shared" si="11"/>
        <v>0</v>
      </c>
      <c r="CT594" s="1432"/>
      <c r="CU594" s="1432"/>
      <c r="CV594" s="1432"/>
      <c r="CW594" s="1433"/>
      <c r="CX594" s="1431">
        <f t="shared" si="12"/>
        <v>0</v>
      </c>
      <c r="CY594" s="1432"/>
      <c r="CZ594" s="1432"/>
      <c r="DA594" s="1432"/>
      <c r="DB594" s="1433"/>
      <c r="DC594" s="1431">
        <f t="shared" si="13"/>
        <v>0</v>
      </c>
      <c r="DD594" s="1432"/>
      <c r="DE594" s="1432"/>
      <c r="DF594" s="1432"/>
      <c r="DG594" s="1433"/>
      <c r="DH594" s="1431">
        <f t="shared" si="14"/>
        <v>0</v>
      </c>
      <c r="DI594" s="1432"/>
      <c r="DJ594" s="1432"/>
      <c r="DK594" s="1432"/>
      <c r="DL594" s="1433"/>
      <c r="DM594" s="1431">
        <f t="shared" si="15"/>
        <v>0</v>
      </c>
      <c r="DN594" s="1432"/>
      <c r="DO594" s="1432"/>
      <c r="DP594" s="1432"/>
      <c r="DQ594" s="1433"/>
      <c r="DR594" s="1431">
        <f t="shared" si="16"/>
        <v>0</v>
      </c>
      <c r="DS594" s="1432"/>
      <c r="DT594" s="1432"/>
      <c r="DU594" s="1432"/>
      <c r="DV594" s="1433"/>
    </row>
    <row r="595" spans="1:126" ht="13.35" customHeight="1">
      <c r="A595" s="4"/>
      <c r="B595" t="s">
        <v>1390</v>
      </c>
      <c r="G595" s="1044"/>
      <c r="H595" s="1044"/>
      <c r="I595" s="1044"/>
      <c r="J595" s="1044"/>
      <c r="K595" s="1044"/>
      <c r="L595" s="1044"/>
      <c r="M595" s="1044"/>
      <c r="N595" s="1044"/>
      <c r="O595" s="1044"/>
      <c r="P595" s="1044"/>
      <c r="Q595" s="1044"/>
      <c r="R595" s="1044"/>
      <c r="T595" s="4"/>
      <c r="U595" t="s">
        <v>1390</v>
      </c>
      <c r="Z595" s="1045"/>
      <c r="AA595" s="1045"/>
      <c r="AB595" s="1045"/>
      <c r="AC595" s="1045"/>
      <c r="AD595" s="1045"/>
      <c r="AE595" s="1045"/>
      <c r="AF595" s="1045"/>
      <c r="AG595" s="1045"/>
      <c r="AH595" s="1045"/>
      <c r="AI595" s="1045"/>
      <c r="AJ595" s="1045"/>
      <c r="AK595" s="1045"/>
      <c r="AZ595" s="37"/>
      <c r="BA595" s="37"/>
      <c r="BB595" s="37"/>
      <c r="BC595" s="37"/>
      <c r="BD595" s="37"/>
      <c r="BE595" s="1192">
        <f t="shared" si="9"/>
        <v>0</v>
      </c>
      <c r="BF595" s="1195"/>
      <c r="BG595" s="1192">
        <f t="shared" si="7"/>
        <v>0</v>
      </c>
      <c r="BH595" s="1195"/>
      <c r="BI595" s="1192">
        <f t="shared" si="10"/>
        <v>0</v>
      </c>
      <c r="BJ595" s="1195"/>
      <c r="BK595" s="1192">
        <f t="shared" si="8"/>
        <v>0</v>
      </c>
      <c r="BL595" s="1195"/>
      <c r="BN595" s="1192">
        <f t="shared" si="1"/>
        <v>0</v>
      </c>
      <c r="BO595" s="1193"/>
      <c r="BP595" s="1193"/>
      <c r="BQ595" s="1193"/>
      <c r="BR595" s="1194"/>
      <c r="BS595" s="1192">
        <f t="shared" si="2"/>
        <v>0</v>
      </c>
      <c r="BT595" s="1193"/>
      <c r="BU595" s="1193"/>
      <c r="BV595" s="1193"/>
      <c r="BW595" s="1195"/>
      <c r="BX595" s="1192">
        <f t="shared" si="3"/>
        <v>0</v>
      </c>
      <c r="BY595" s="1193"/>
      <c r="BZ595" s="1193"/>
      <c r="CA595" s="1193"/>
      <c r="CB595" s="1195"/>
      <c r="CC595" s="1192">
        <f t="shared" si="4"/>
        <v>0</v>
      </c>
      <c r="CD595" s="1193"/>
      <c r="CE595" s="1193"/>
      <c r="CF595" s="1193"/>
      <c r="CG595" s="1195"/>
      <c r="CH595" s="1192">
        <f t="shared" si="5"/>
        <v>0</v>
      </c>
      <c r="CI595" s="1193"/>
      <c r="CJ595" s="1193"/>
      <c r="CK595" s="1193"/>
      <c r="CL595" s="1195"/>
      <c r="CM595" s="1192">
        <f t="shared" si="6"/>
        <v>0</v>
      </c>
      <c r="CN595" s="1193"/>
      <c r="CO595" s="1193"/>
      <c r="CP595" s="1193"/>
      <c r="CQ595" s="1195"/>
      <c r="CS595" s="1431">
        <f t="shared" si="11"/>
        <v>0</v>
      </c>
      <c r="CT595" s="1432"/>
      <c r="CU595" s="1432"/>
      <c r="CV595" s="1432"/>
      <c r="CW595" s="1433"/>
      <c r="CX595" s="1431">
        <f t="shared" si="12"/>
        <v>0</v>
      </c>
      <c r="CY595" s="1432"/>
      <c r="CZ595" s="1432"/>
      <c r="DA595" s="1432"/>
      <c r="DB595" s="1433"/>
      <c r="DC595" s="1431">
        <f t="shared" si="13"/>
        <v>0</v>
      </c>
      <c r="DD595" s="1432"/>
      <c r="DE595" s="1432"/>
      <c r="DF595" s="1432"/>
      <c r="DG595" s="1433"/>
      <c r="DH595" s="1431">
        <f t="shared" si="14"/>
        <v>0</v>
      </c>
      <c r="DI595" s="1432"/>
      <c r="DJ595" s="1432"/>
      <c r="DK595" s="1432"/>
      <c r="DL595" s="1433"/>
      <c r="DM595" s="1431">
        <f t="shared" si="15"/>
        <v>0</v>
      </c>
      <c r="DN595" s="1432"/>
      <c r="DO595" s="1432"/>
      <c r="DP595" s="1432"/>
      <c r="DQ595" s="1433"/>
      <c r="DR595" s="1431">
        <f t="shared" si="16"/>
        <v>0</v>
      </c>
      <c r="DS595" s="1432"/>
      <c r="DT595" s="1432"/>
      <c r="DU595" s="1432"/>
      <c r="DV595" s="1433"/>
    </row>
    <row r="596" spans="1:126" ht="13.35" customHeight="1">
      <c r="A596" s="4"/>
      <c r="B596" t="s">
        <v>823</v>
      </c>
      <c r="G596" s="1068"/>
      <c r="H596" s="1068"/>
      <c r="I596" s="1068"/>
      <c r="J596" s="1068"/>
      <c r="K596" s="1068"/>
      <c r="L596" s="1068"/>
      <c r="O596" s="827" t="s">
        <v>1054</v>
      </c>
      <c r="P596" s="1093"/>
      <c r="Q596" s="1093"/>
      <c r="R596" s="1093"/>
      <c r="T596" s="4"/>
      <c r="U596" t="s">
        <v>823</v>
      </c>
      <c r="Z596" s="1068"/>
      <c r="AA596" s="1068"/>
      <c r="AB596" s="1068"/>
      <c r="AC596" s="1068"/>
      <c r="AD596" s="1068"/>
      <c r="AE596" s="1068"/>
      <c r="AH596" s="827" t="s">
        <v>1054</v>
      </c>
      <c r="AI596" s="1093"/>
      <c r="AJ596" s="1093"/>
      <c r="AK596" s="1093"/>
      <c r="AZ596" s="37"/>
      <c r="BA596" s="37"/>
      <c r="BB596" s="37"/>
      <c r="BC596" s="37"/>
      <c r="BD596" s="37"/>
      <c r="BE596" s="1192">
        <f t="shared" si="9"/>
        <v>0</v>
      </c>
      <c r="BF596" s="1195"/>
      <c r="BG596" s="1192">
        <f t="shared" si="7"/>
        <v>0</v>
      </c>
      <c r="BH596" s="1195"/>
      <c r="BI596" s="1192">
        <f t="shared" si="10"/>
        <v>0</v>
      </c>
      <c r="BJ596" s="1195"/>
      <c r="BK596" s="1192">
        <f t="shared" si="8"/>
        <v>0</v>
      </c>
      <c r="BL596" s="1195"/>
      <c r="BN596" s="1192">
        <f t="shared" si="1"/>
        <v>0</v>
      </c>
      <c r="BO596" s="1193"/>
      <c r="BP596" s="1193"/>
      <c r="BQ596" s="1193"/>
      <c r="BR596" s="1194"/>
      <c r="BS596" s="1192">
        <f t="shared" si="2"/>
        <v>0</v>
      </c>
      <c r="BT596" s="1193"/>
      <c r="BU596" s="1193"/>
      <c r="BV596" s="1193"/>
      <c r="BW596" s="1195"/>
      <c r="BX596" s="1192">
        <f t="shared" si="3"/>
        <v>0</v>
      </c>
      <c r="BY596" s="1193"/>
      <c r="BZ596" s="1193"/>
      <c r="CA596" s="1193"/>
      <c r="CB596" s="1195"/>
      <c r="CC596" s="1192">
        <f t="shared" si="4"/>
        <v>0</v>
      </c>
      <c r="CD596" s="1193"/>
      <c r="CE596" s="1193"/>
      <c r="CF596" s="1193"/>
      <c r="CG596" s="1195"/>
      <c r="CH596" s="1192">
        <f t="shared" si="5"/>
        <v>0</v>
      </c>
      <c r="CI596" s="1193"/>
      <c r="CJ596" s="1193"/>
      <c r="CK596" s="1193"/>
      <c r="CL596" s="1195"/>
      <c r="CM596" s="1192">
        <f t="shared" si="6"/>
        <v>0</v>
      </c>
      <c r="CN596" s="1193"/>
      <c r="CO596" s="1193"/>
      <c r="CP596" s="1193"/>
      <c r="CQ596" s="1195"/>
      <c r="CS596" s="1431">
        <f t="shared" si="11"/>
        <v>0</v>
      </c>
      <c r="CT596" s="1432"/>
      <c r="CU596" s="1432"/>
      <c r="CV596" s="1432"/>
      <c r="CW596" s="1433"/>
      <c r="CX596" s="1431">
        <f t="shared" si="12"/>
        <v>0</v>
      </c>
      <c r="CY596" s="1432"/>
      <c r="CZ596" s="1432"/>
      <c r="DA596" s="1432"/>
      <c r="DB596" s="1433"/>
      <c r="DC596" s="1431">
        <f t="shared" si="13"/>
        <v>0</v>
      </c>
      <c r="DD596" s="1432"/>
      <c r="DE596" s="1432"/>
      <c r="DF596" s="1432"/>
      <c r="DG596" s="1433"/>
      <c r="DH596" s="1431">
        <f t="shared" si="14"/>
        <v>0</v>
      </c>
      <c r="DI596" s="1432"/>
      <c r="DJ596" s="1432"/>
      <c r="DK596" s="1432"/>
      <c r="DL596" s="1433"/>
      <c r="DM596" s="1431">
        <f t="shared" si="15"/>
        <v>0</v>
      </c>
      <c r="DN596" s="1432"/>
      <c r="DO596" s="1432"/>
      <c r="DP596" s="1432"/>
      <c r="DQ596" s="1433"/>
      <c r="DR596" s="1431">
        <f t="shared" si="16"/>
        <v>0</v>
      </c>
      <c r="DS596" s="1432"/>
      <c r="DT596" s="1432"/>
      <c r="DU596" s="1432"/>
      <c r="DV596" s="1433"/>
    </row>
    <row r="597" spans="1:126" s="5" customFormat="1" ht="13.35" customHeight="1">
      <c r="A597" s="4"/>
      <c r="B597" t="s">
        <v>1393</v>
      </c>
      <c r="C597"/>
      <c r="D597"/>
      <c r="E597"/>
      <c r="F597"/>
      <c r="G597"/>
      <c r="H597" s="1044"/>
      <c r="I597" s="1044"/>
      <c r="J597" s="1044"/>
      <c r="K597" s="1044"/>
      <c r="L597" s="1044"/>
      <c r="M597" s="1044"/>
      <c r="N597" s="1044"/>
      <c r="O597" s="1044"/>
      <c r="P597" s="1044"/>
      <c r="Q597" s="1044"/>
      <c r="R597" s="1044"/>
      <c r="S597"/>
      <c r="T597" s="4"/>
      <c r="U597" t="s">
        <v>1393</v>
      </c>
      <c r="V597"/>
      <c r="W597"/>
      <c r="X597"/>
      <c r="Y597"/>
      <c r="Z597"/>
      <c r="AA597" s="1044"/>
      <c r="AB597" s="1044"/>
      <c r="AC597" s="1044"/>
      <c r="AD597" s="1044"/>
      <c r="AE597" s="1044"/>
      <c r="AF597" s="1044"/>
      <c r="AG597" s="1044"/>
      <c r="AH597" s="1044"/>
      <c r="AI597" s="1044"/>
      <c r="AJ597" s="1044"/>
      <c r="AK597" s="1044"/>
      <c r="AL597"/>
      <c r="AM597" s="37"/>
      <c r="AN597" s="37"/>
      <c r="AO597" s="37"/>
      <c r="AP597" s="37"/>
      <c r="AQ597" s="37"/>
      <c r="AR597" s="37"/>
      <c r="AS597" s="37"/>
      <c r="AT597" s="37"/>
      <c r="AU597" s="37"/>
      <c r="AV597" s="37"/>
      <c r="AW597" s="37"/>
      <c r="AX597" s="37"/>
      <c r="AY597" s="37"/>
      <c r="AZ597" s="37"/>
      <c r="BA597" s="37"/>
      <c r="BB597" s="37"/>
      <c r="BC597" s="37"/>
      <c r="BD597" s="37"/>
      <c r="BE597" s="1192">
        <f t="shared" si="9"/>
        <v>0</v>
      </c>
      <c r="BF597" s="1195"/>
      <c r="BG597" s="1192">
        <f t="shared" si="7"/>
        <v>0</v>
      </c>
      <c r="BH597" s="1195"/>
      <c r="BI597" s="1192">
        <f t="shared" si="10"/>
        <v>0</v>
      </c>
      <c r="BJ597" s="1195"/>
      <c r="BK597" s="1192">
        <f t="shared" si="8"/>
        <v>0</v>
      </c>
      <c r="BL597" s="1195"/>
      <c r="BM597" s="37"/>
      <c r="BN597" s="1192">
        <f t="shared" si="1"/>
        <v>0</v>
      </c>
      <c r="BO597" s="1193"/>
      <c r="BP597" s="1193"/>
      <c r="BQ597" s="1193"/>
      <c r="BR597" s="1194"/>
      <c r="BS597" s="1192">
        <f t="shared" si="2"/>
        <v>0</v>
      </c>
      <c r="BT597" s="1193"/>
      <c r="BU597" s="1193"/>
      <c r="BV597" s="1193"/>
      <c r="BW597" s="1195"/>
      <c r="BX597" s="1192">
        <f t="shared" si="3"/>
        <v>0</v>
      </c>
      <c r="BY597" s="1193"/>
      <c r="BZ597" s="1193"/>
      <c r="CA597" s="1193"/>
      <c r="CB597" s="1195"/>
      <c r="CC597" s="1192">
        <f t="shared" si="4"/>
        <v>0</v>
      </c>
      <c r="CD597" s="1193"/>
      <c r="CE597" s="1193"/>
      <c r="CF597" s="1193"/>
      <c r="CG597" s="1195"/>
      <c r="CH597" s="1192">
        <f t="shared" si="5"/>
        <v>0</v>
      </c>
      <c r="CI597" s="1193"/>
      <c r="CJ597" s="1193"/>
      <c r="CK597" s="1193"/>
      <c r="CL597" s="1195"/>
      <c r="CM597" s="1192">
        <f t="shared" si="6"/>
        <v>0</v>
      </c>
      <c r="CN597" s="1193"/>
      <c r="CO597" s="1193"/>
      <c r="CP597" s="1193"/>
      <c r="CQ597" s="1195"/>
      <c r="CR597" s="37"/>
      <c r="CS597" s="1431">
        <f t="shared" si="11"/>
        <v>0</v>
      </c>
      <c r="CT597" s="1432"/>
      <c r="CU597" s="1432"/>
      <c r="CV597" s="1432"/>
      <c r="CW597" s="1433"/>
      <c r="CX597" s="1431">
        <f t="shared" si="12"/>
        <v>0</v>
      </c>
      <c r="CY597" s="1432"/>
      <c r="CZ597" s="1432"/>
      <c r="DA597" s="1432"/>
      <c r="DB597" s="1433"/>
      <c r="DC597" s="1431">
        <f t="shared" si="13"/>
        <v>0</v>
      </c>
      <c r="DD597" s="1432"/>
      <c r="DE597" s="1432"/>
      <c r="DF597" s="1432"/>
      <c r="DG597" s="1433"/>
      <c r="DH597" s="1431">
        <f t="shared" si="14"/>
        <v>0</v>
      </c>
      <c r="DI597" s="1432"/>
      <c r="DJ597" s="1432"/>
      <c r="DK597" s="1432"/>
      <c r="DL597" s="1433"/>
      <c r="DM597" s="1431">
        <f t="shared" si="15"/>
        <v>0</v>
      </c>
      <c r="DN597" s="1432"/>
      <c r="DO597" s="1432"/>
      <c r="DP597" s="1432"/>
      <c r="DQ597" s="1433"/>
      <c r="DR597" s="1431">
        <f t="shared" si="16"/>
        <v>0</v>
      </c>
      <c r="DS597" s="1432"/>
      <c r="DT597" s="1432"/>
      <c r="DU597" s="1432"/>
      <c r="DV597" s="1433"/>
    </row>
    <row r="598" spans="1:126" s="5" customFormat="1" ht="13.35" customHeight="1">
      <c r="A598" s="4"/>
      <c r="B598" t="s">
        <v>1395</v>
      </c>
      <c r="C598"/>
      <c r="D598"/>
      <c r="E598"/>
      <c r="F598"/>
      <c r="G598"/>
      <c r="H598"/>
      <c r="I598"/>
      <c r="J598"/>
      <c r="K598"/>
      <c r="L598"/>
      <c r="M598"/>
      <c r="N598" s="1059" t="s">
        <v>712</v>
      </c>
      <c r="O598" s="1059"/>
      <c r="P598"/>
      <c r="Q598"/>
      <c r="R598"/>
      <c r="S598"/>
      <c r="T598" s="4"/>
      <c r="U598" t="s">
        <v>1395</v>
      </c>
      <c r="V598"/>
      <c r="W598"/>
      <c r="X598"/>
      <c r="Y598"/>
      <c r="Z598"/>
      <c r="AA598"/>
      <c r="AB598"/>
      <c r="AC598"/>
      <c r="AD598"/>
      <c r="AE598"/>
      <c r="AF598"/>
      <c r="AG598" s="1059" t="s">
        <v>712</v>
      </c>
      <c r="AH598" s="1059"/>
      <c r="AI598"/>
      <c r="AJ598"/>
      <c r="AK598"/>
      <c r="AL598"/>
      <c r="AM598" s="37"/>
      <c r="AN598" s="37"/>
      <c r="AO598" s="37"/>
      <c r="AP598" s="37"/>
      <c r="AQ598" s="37"/>
      <c r="AR598" s="37"/>
      <c r="AS598" s="37"/>
      <c r="AT598" s="37"/>
      <c r="AU598" s="37"/>
      <c r="AV598" s="37"/>
      <c r="AW598" s="37"/>
      <c r="AX598" s="37"/>
      <c r="AY598" s="37"/>
      <c r="AZ598" s="37"/>
      <c r="BA598" s="37"/>
      <c r="BB598" s="37"/>
      <c r="BC598" s="37"/>
      <c r="BD598" s="37"/>
      <c r="BE598" s="1192">
        <f t="shared" si="9"/>
        <v>0</v>
      </c>
      <c r="BF598" s="1195"/>
      <c r="BG598" s="1192">
        <f t="shared" si="7"/>
        <v>0</v>
      </c>
      <c r="BH598" s="1195"/>
      <c r="BI598" s="1192">
        <f t="shared" si="10"/>
        <v>0</v>
      </c>
      <c r="BJ598" s="1195"/>
      <c r="BK598" s="1192">
        <f t="shared" si="8"/>
        <v>0</v>
      </c>
      <c r="BL598" s="1195"/>
      <c r="BM598" s="37"/>
      <c r="BN598" s="1192">
        <f t="shared" si="1"/>
        <v>0</v>
      </c>
      <c r="BO598" s="1193"/>
      <c r="BP598" s="1193"/>
      <c r="BQ598" s="1193"/>
      <c r="BR598" s="1194"/>
      <c r="BS598" s="1192">
        <f t="shared" si="2"/>
        <v>0</v>
      </c>
      <c r="BT598" s="1193"/>
      <c r="BU598" s="1193"/>
      <c r="BV598" s="1193"/>
      <c r="BW598" s="1195"/>
      <c r="BX598" s="1192">
        <f t="shared" si="3"/>
        <v>0</v>
      </c>
      <c r="BY598" s="1193"/>
      <c r="BZ598" s="1193"/>
      <c r="CA598" s="1193"/>
      <c r="CB598" s="1195"/>
      <c r="CC598" s="1192">
        <f t="shared" si="4"/>
        <v>0</v>
      </c>
      <c r="CD598" s="1193"/>
      <c r="CE598" s="1193"/>
      <c r="CF598" s="1193"/>
      <c r="CG598" s="1195"/>
      <c r="CH598" s="1192">
        <f t="shared" si="5"/>
        <v>0</v>
      </c>
      <c r="CI598" s="1193"/>
      <c r="CJ598" s="1193"/>
      <c r="CK598" s="1193"/>
      <c r="CL598" s="1195"/>
      <c r="CM598" s="1192">
        <f t="shared" si="6"/>
        <v>0</v>
      </c>
      <c r="CN598" s="1193"/>
      <c r="CO598" s="1193"/>
      <c r="CP598" s="1193"/>
      <c r="CQ598" s="1195"/>
      <c r="CR598" s="37"/>
      <c r="CS598" s="1431">
        <f t="shared" si="11"/>
        <v>0</v>
      </c>
      <c r="CT598" s="1432"/>
      <c r="CU598" s="1432"/>
      <c r="CV598" s="1432"/>
      <c r="CW598" s="1433"/>
      <c r="CX598" s="1431">
        <f t="shared" si="12"/>
        <v>0</v>
      </c>
      <c r="CY598" s="1432"/>
      <c r="CZ598" s="1432"/>
      <c r="DA598" s="1432"/>
      <c r="DB598" s="1433"/>
      <c r="DC598" s="1431">
        <f t="shared" si="13"/>
        <v>0</v>
      </c>
      <c r="DD598" s="1432"/>
      <c r="DE598" s="1432"/>
      <c r="DF598" s="1432"/>
      <c r="DG598" s="1433"/>
      <c r="DH598" s="1431">
        <f t="shared" si="14"/>
        <v>0</v>
      </c>
      <c r="DI598" s="1432"/>
      <c r="DJ598" s="1432"/>
      <c r="DK598" s="1432"/>
      <c r="DL598" s="1433"/>
      <c r="DM598" s="1431">
        <f t="shared" si="15"/>
        <v>0</v>
      </c>
      <c r="DN598" s="1432"/>
      <c r="DO598" s="1432"/>
      <c r="DP598" s="1432"/>
      <c r="DQ598" s="1433"/>
      <c r="DR598" s="1431">
        <f t="shared" si="16"/>
        <v>0</v>
      </c>
      <c r="DS598" s="1432"/>
      <c r="DT598" s="1432"/>
      <c r="DU598" s="1432"/>
      <c r="DV598" s="1433"/>
    </row>
    <row r="599" spans="1:126" s="5" customFormat="1" ht="13.3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7"/>
      <c r="AN599" s="37"/>
      <c r="AO599" s="37"/>
      <c r="AP599" s="37"/>
      <c r="AQ599" s="37"/>
      <c r="AR599" s="37"/>
      <c r="AS599" s="37"/>
      <c r="AT599" s="37"/>
      <c r="AU599" s="37"/>
      <c r="AV599" s="37"/>
      <c r="AW599" s="37"/>
      <c r="AX599" s="37"/>
      <c r="AY599" s="37"/>
      <c r="AZ599" s="37"/>
      <c r="BA599" s="37"/>
      <c r="BB599" s="37"/>
      <c r="BC599" s="37"/>
      <c r="BD599" s="37"/>
      <c r="BE599" s="1192">
        <f t="shared" si="9"/>
        <v>0</v>
      </c>
      <c r="BF599" s="1195"/>
      <c r="BG599" s="1192">
        <f t="shared" si="7"/>
        <v>0</v>
      </c>
      <c r="BH599" s="1195"/>
      <c r="BI599" s="1192">
        <f t="shared" si="10"/>
        <v>0</v>
      </c>
      <c r="BJ599" s="1195"/>
      <c r="BK599" s="1192">
        <f t="shared" si="8"/>
        <v>0</v>
      </c>
      <c r="BL599" s="1195"/>
      <c r="BM599" s="37"/>
      <c r="BN599" s="1192">
        <f t="shared" si="1"/>
        <v>0</v>
      </c>
      <c r="BO599" s="1193"/>
      <c r="BP599" s="1193"/>
      <c r="BQ599" s="1193"/>
      <c r="BR599" s="1194"/>
      <c r="BS599" s="1192">
        <f t="shared" si="2"/>
        <v>0</v>
      </c>
      <c r="BT599" s="1193"/>
      <c r="BU599" s="1193"/>
      <c r="BV599" s="1193"/>
      <c r="BW599" s="1195"/>
      <c r="BX599" s="1192">
        <f t="shared" si="3"/>
        <v>0</v>
      </c>
      <c r="BY599" s="1193"/>
      <c r="BZ599" s="1193"/>
      <c r="CA599" s="1193"/>
      <c r="CB599" s="1195"/>
      <c r="CC599" s="1192">
        <f t="shared" si="4"/>
        <v>0</v>
      </c>
      <c r="CD599" s="1193"/>
      <c r="CE599" s="1193"/>
      <c r="CF599" s="1193"/>
      <c r="CG599" s="1195"/>
      <c r="CH599" s="1192">
        <f t="shared" si="5"/>
        <v>0</v>
      </c>
      <c r="CI599" s="1193"/>
      <c r="CJ599" s="1193"/>
      <c r="CK599" s="1193"/>
      <c r="CL599" s="1195"/>
      <c r="CM599" s="1192">
        <f t="shared" si="6"/>
        <v>0</v>
      </c>
      <c r="CN599" s="1193"/>
      <c r="CO599" s="1193"/>
      <c r="CP599" s="1193"/>
      <c r="CQ599" s="1195"/>
      <c r="CR599" s="37"/>
      <c r="CS599" s="1431">
        <f t="shared" si="11"/>
        <v>0</v>
      </c>
      <c r="CT599" s="1432"/>
      <c r="CU599" s="1432"/>
      <c r="CV599" s="1432"/>
      <c r="CW599" s="1433"/>
      <c r="CX599" s="1431">
        <f t="shared" si="12"/>
        <v>0</v>
      </c>
      <c r="CY599" s="1432"/>
      <c r="CZ599" s="1432"/>
      <c r="DA599" s="1432"/>
      <c r="DB599" s="1433"/>
      <c r="DC599" s="1431">
        <f t="shared" si="13"/>
        <v>0</v>
      </c>
      <c r="DD599" s="1432"/>
      <c r="DE599" s="1432"/>
      <c r="DF599" s="1432"/>
      <c r="DG599" s="1433"/>
      <c r="DH599" s="1431">
        <f t="shared" si="14"/>
        <v>0</v>
      </c>
      <c r="DI599" s="1432"/>
      <c r="DJ599" s="1432"/>
      <c r="DK599" s="1432"/>
      <c r="DL599" s="1433"/>
      <c r="DM599" s="1431">
        <f t="shared" si="15"/>
        <v>0</v>
      </c>
      <c r="DN599" s="1432"/>
      <c r="DO599" s="1432"/>
      <c r="DP599" s="1432"/>
      <c r="DQ599" s="1433"/>
      <c r="DR599" s="1431">
        <f t="shared" si="16"/>
        <v>0</v>
      </c>
      <c r="DS599" s="1432"/>
      <c r="DT599" s="1432"/>
      <c r="DU599" s="1432"/>
      <c r="DV599" s="1433"/>
    </row>
    <row r="600" spans="1:126" ht="13.35" customHeight="1">
      <c r="A600" s="54" t="s">
        <v>1382</v>
      </c>
      <c r="B600" t="s">
        <v>1385</v>
      </c>
      <c r="G600" s="1236">
        <f>C556</f>
        <v>0</v>
      </c>
      <c r="H600" s="1236"/>
      <c r="I600" s="1236"/>
      <c r="J600" s="1236"/>
      <c r="K600" s="1236"/>
      <c r="L600" s="1236"/>
      <c r="M600" s="1236"/>
      <c r="N600" s="1236"/>
      <c r="O600" s="1236"/>
      <c r="P600" s="1236"/>
      <c r="Q600" s="1236"/>
      <c r="R600" s="1236"/>
      <c r="T600" s="54" t="s">
        <v>1383</v>
      </c>
      <c r="U600" t="s">
        <v>1385</v>
      </c>
      <c r="Z600" s="1236">
        <f>C557</f>
        <v>0</v>
      </c>
      <c r="AA600" s="1236"/>
      <c r="AB600" s="1236"/>
      <c r="AC600" s="1236"/>
      <c r="AD600" s="1236"/>
      <c r="AE600" s="1236"/>
      <c r="AF600" s="1236"/>
      <c r="AG600" s="1236"/>
      <c r="AH600" s="1236"/>
      <c r="AI600" s="1236"/>
      <c r="AJ600" s="1236"/>
      <c r="AK600" s="1236"/>
      <c r="AZ600" s="37"/>
      <c r="BA600" s="37"/>
      <c r="BB600" s="37"/>
      <c r="BC600" s="37"/>
      <c r="BD600" s="37"/>
      <c r="BE600" s="1192">
        <f t="shared" si="9"/>
        <v>0</v>
      </c>
      <c r="BF600" s="1195"/>
      <c r="BG600" s="1192">
        <f t="shared" si="7"/>
        <v>0</v>
      </c>
      <c r="BH600" s="1195"/>
      <c r="BI600" s="1192">
        <f t="shared" si="10"/>
        <v>0</v>
      </c>
      <c r="BJ600" s="1195"/>
      <c r="BK600" s="1192">
        <f t="shared" si="8"/>
        <v>0</v>
      </c>
      <c r="BL600" s="1195"/>
      <c r="BN600" s="1192">
        <f t="shared" si="1"/>
        <v>0</v>
      </c>
      <c r="BO600" s="1193"/>
      <c r="BP600" s="1193"/>
      <c r="BQ600" s="1193"/>
      <c r="BR600" s="1194"/>
      <c r="BS600" s="1192">
        <f t="shared" si="2"/>
        <v>0</v>
      </c>
      <c r="BT600" s="1193"/>
      <c r="BU600" s="1193"/>
      <c r="BV600" s="1193"/>
      <c r="BW600" s="1195"/>
      <c r="BX600" s="1192">
        <f t="shared" si="3"/>
        <v>0</v>
      </c>
      <c r="BY600" s="1193"/>
      <c r="BZ600" s="1193"/>
      <c r="CA600" s="1193"/>
      <c r="CB600" s="1195"/>
      <c r="CC600" s="1192">
        <f t="shared" si="4"/>
        <v>0</v>
      </c>
      <c r="CD600" s="1193"/>
      <c r="CE600" s="1193"/>
      <c r="CF600" s="1193"/>
      <c r="CG600" s="1195"/>
      <c r="CH600" s="1192">
        <f t="shared" si="5"/>
        <v>0</v>
      </c>
      <c r="CI600" s="1193"/>
      <c r="CJ600" s="1193"/>
      <c r="CK600" s="1193"/>
      <c r="CL600" s="1195"/>
      <c r="CM600" s="1192">
        <f t="shared" si="6"/>
        <v>0</v>
      </c>
      <c r="CN600" s="1193"/>
      <c r="CO600" s="1193"/>
      <c r="CP600" s="1193"/>
      <c r="CQ600" s="1195"/>
      <c r="CS600" s="1431">
        <f t="shared" si="11"/>
        <v>0</v>
      </c>
      <c r="CT600" s="1432"/>
      <c r="CU600" s="1432"/>
      <c r="CV600" s="1432"/>
      <c r="CW600" s="1433"/>
      <c r="CX600" s="1431">
        <f t="shared" si="12"/>
        <v>0</v>
      </c>
      <c r="CY600" s="1432"/>
      <c r="CZ600" s="1432"/>
      <c r="DA600" s="1432"/>
      <c r="DB600" s="1433"/>
      <c r="DC600" s="1431">
        <f t="shared" si="13"/>
        <v>0</v>
      </c>
      <c r="DD600" s="1432"/>
      <c r="DE600" s="1432"/>
      <c r="DF600" s="1432"/>
      <c r="DG600" s="1433"/>
      <c r="DH600" s="1431">
        <f t="shared" si="14"/>
        <v>0</v>
      </c>
      <c r="DI600" s="1432"/>
      <c r="DJ600" s="1432"/>
      <c r="DK600" s="1432"/>
      <c r="DL600" s="1433"/>
      <c r="DM600" s="1431">
        <f t="shared" si="15"/>
        <v>0</v>
      </c>
      <c r="DN600" s="1432"/>
      <c r="DO600" s="1432"/>
      <c r="DP600" s="1432"/>
      <c r="DQ600" s="1433"/>
      <c r="DR600" s="1431">
        <f t="shared" si="16"/>
        <v>0</v>
      </c>
      <c r="DS600" s="1432"/>
      <c r="DT600" s="1432"/>
      <c r="DU600" s="1432"/>
      <c r="DV600" s="1433"/>
    </row>
    <row r="601" spans="1:126" ht="13.35" customHeight="1">
      <c r="B601" t="s">
        <v>1045</v>
      </c>
      <c r="G601" s="1044"/>
      <c r="H601" s="1044"/>
      <c r="I601" s="1044"/>
      <c r="J601" s="1044"/>
      <c r="K601" s="1044"/>
      <c r="L601" s="1044"/>
      <c r="M601" s="1044"/>
      <c r="N601" s="1044"/>
      <c r="O601" s="1044"/>
      <c r="P601" s="1044"/>
      <c r="Q601" s="1044"/>
      <c r="R601" s="1044"/>
      <c r="U601" t="s">
        <v>1045</v>
      </c>
      <c r="Z601" s="1044"/>
      <c r="AA601" s="1044"/>
      <c r="AB601" s="1044"/>
      <c r="AC601" s="1044"/>
      <c r="AD601" s="1044"/>
      <c r="AE601" s="1044"/>
      <c r="AF601" s="1044"/>
      <c r="AG601" s="1044"/>
      <c r="AH601" s="1044"/>
      <c r="AI601" s="1044"/>
      <c r="AJ601" s="1044"/>
      <c r="AK601" s="1044"/>
      <c r="AZ601" s="37"/>
      <c r="BA601" s="37"/>
      <c r="BB601" s="37"/>
      <c r="BC601" s="37"/>
      <c r="BD601" s="37"/>
      <c r="BE601" s="1192">
        <f t="shared" si="9"/>
        <v>0</v>
      </c>
      <c r="BF601" s="1195"/>
      <c r="BG601" s="1192">
        <f t="shared" si="7"/>
        <v>0</v>
      </c>
      <c r="BH601" s="1195"/>
      <c r="BI601" s="1192">
        <f t="shared" si="10"/>
        <v>0</v>
      </c>
      <c r="BJ601" s="1195"/>
      <c r="BK601" s="1192">
        <f t="shared" si="8"/>
        <v>0</v>
      </c>
      <c r="BL601" s="1195"/>
      <c r="BN601" s="1192">
        <f t="shared" si="1"/>
        <v>0</v>
      </c>
      <c r="BO601" s="1193"/>
      <c r="BP601" s="1193"/>
      <c r="BQ601" s="1193"/>
      <c r="BR601" s="1194"/>
      <c r="BS601" s="1192">
        <f t="shared" si="2"/>
        <v>0</v>
      </c>
      <c r="BT601" s="1193"/>
      <c r="BU601" s="1193"/>
      <c r="BV601" s="1193"/>
      <c r="BW601" s="1195"/>
      <c r="BX601" s="1192">
        <f t="shared" si="3"/>
        <v>0</v>
      </c>
      <c r="BY601" s="1193"/>
      <c r="BZ601" s="1193"/>
      <c r="CA601" s="1193"/>
      <c r="CB601" s="1195"/>
      <c r="CC601" s="1192">
        <f t="shared" si="4"/>
        <v>0</v>
      </c>
      <c r="CD601" s="1193"/>
      <c r="CE601" s="1193"/>
      <c r="CF601" s="1193"/>
      <c r="CG601" s="1195"/>
      <c r="CH601" s="1192">
        <f t="shared" si="5"/>
        <v>0</v>
      </c>
      <c r="CI601" s="1193"/>
      <c r="CJ601" s="1193"/>
      <c r="CK601" s="1193"/>
      <c r="CL601" s="1195"/>
      <c r="CM601" s="1192">
        <f t="shared" si="6"/>
        <v>0</v>
      </c>
      <c r="CN601" s="1193"/>
      <c r="CO601" s="1193"/>
      <c r="CP601" s="1193"/>
      <c r="CQ601" s="1195"/>
      <c r="CS601" s="1431">
        <f t="shared" si="11"/>
        <v>0</v>
      </c>
      <c r="CT601" s="1432"/>
      <c r="CU601" s="1432"/>
      <c r="CV601" s="1432"/>
      <c r="CW601" s="1433"/>
      <c r="CX601" s="1431">
        <f t="shared" si="12"/>
        <v>0</v>
      </c>
      <c r="CY601" s="1432"/>
      <c r="CZ601" s="1432"/>
      <c r="DA601" s="1432"/>
      <c r="DB601" s="1433"/>
      <c r="DC601" s="1431">
        <f t="shared" si="13"/>
        <v>0</v>
      </c>
      <c r="DD601" s="1432"/>
      <c r="DE601" s="1432"/>
      <c r="DF601" s="1432"/>
      <c r="DG601" s="1433"/>
      <c r="DH601" s="1431">
        <f t="shared" si="14"/>
        <v>0</v>
      </c>
      <c r="DI601" s="1432"/>
      <c r="DJ601" s="1432"/>
      <c r="DK601" s="1432"/>
      <c r="DL601" s="1433"/>
      <c r="DM601" s="1431">
        <f t="shared" si="15"/>
        <v>0</v>
      </c>
      <c r="DN601" s="1432"/>
      <c r="DO601" s="1432"/>
      <c r="DP601" s="1432"/>
      <c r="DQ601" s="1433"/>
      <c r="DR601" s="1431">
        <f t="shared" si="16"/>
        <v>0</v>
      </c>
      <c r="DS601" s="1432"/>
      <c r="DT601" s="1432"/>
      <c r="DU601" s="1432"/>
      <c r="DV601" s="1433"/>
    </row>
    <row r="602" spans="1:126" ht="13.35" customHeight="1">
      <c r="B602" t="s">
        <v>907</v>
      </c>
      <c r="G602" s="1044"/>
      <c r="H602" s="1044"/>
      <c r="I602" s="1044"/>
      <c r="J602" s="1044"/>
      <c r="K602" s="1044"/>
      <c r="L602" s="1044"/>
      <c r="M602" s="1044"/>
      <c r="N602" s="1044"/>
      <c r="O602" s="1044"/>
      <c r="P602" s="1044"/>
      <c r="Q602" s="1044"/>
      <c r="R602" s="1044"/>
      <c r="U602" t="s">
        <v>907</v>
      </c>
      <c r="Z602" s="1045"/>
      <c r="AA602" s="1045"/>
      <c r="AB602" s="1045"/>
      <c r="AC602" s="1045"/>
      <c r="AD602" s="1045"/>
      <c r="AE602" s="1045"/>
      <c r="AF602" s="1045"/>
      <c r="AG602" s="1045"/>
      <c r="AH602" s="1045"/>
      <c r="AI602" s="1045"/>
      <c r="AJ602" s="1045"/>
      <c r="AK602" s="1045"/>
      <c r="AL602" s="260"/>
      <c r="BA602" s="37"/>
      <c r="BB602" s="37"/>
      <c r="BC602" s="37"/>
      <c r="BD602" s="37"/>
      <c r="BE602" s="1192">
        <f t="shared" si="9"/>
        <v>0</v>
      </c>
      <c r="BF602" s="1195"/>
      <c r="BG602" s="1192">
        <f t="shared" si="7"/>
        <v>0</v>
      </c>
      <c r="BH602" s="1195"/>
      <c r="BI602" s="1192">
        <f t="shared" si="10"/>
        <v>0</v>
      </c>
      <c r="BJ602" s="1195"/>
      <c r="BK602" s="1192">
        <f t="shared" si="8"/>
        <v>0</v>
      </c>
      <c r="BL602" s="1195"/>
      <c r="BN602" s="1192">
        <f t="shared" si="1"/>
        <v>0</v>
      </c>
      <c r="BO602" s="1193"/>
      <c r="BP602" s="1193"/>
      <c r="BQ602" s="1193"/>
      <c r="BR602" s="1194"/>
      <c r="BS602" s="1192">
        <f t="shared" si="2"/>
        <v>0</v>
      </c>
      <c r="BT602" s="1193"/>
      <c r="BU602" s="1193"/>
      <c r="BV602" s="1193"/>
      <c r="BW602" s="1195"/>
      <c r="BX602" s="1192">
        <f t="shared" si="3"/>
        <v>0</v>
      </c>
      <c r="BY602" s="1193"/>
      <c r="BZ602" s="1193"/>
      <c r="CA602" s="1193"/>
      <c r="CB602" s="1195"/>
      <c r="CC602" s="1192">
        <f t="shared" si="4"/>
        <v>0</v>
      </c>
      <c r="CD602" s="1193"/>
      <c r="CE602" s="1193"/>
      <c r="CF602" s="1193"/>
      <c r="CG602" s="1195"/>
      <c r="CH602" s="1192">
        <f t="shared" si="5"/>
        <v>0</v>
      </c>
      <c r="CI602" s="1193"/>
      <c r="CJ602" s="1193"/>
      <c r="CK602" s="1193"/>
      <c r="CL602" s="1195"/>
      <c r="CM602" s="1192">
        <f t="shared" si="6"/>
        <v>0</v>
      </c>
      <c r="CN602" s="1193"/>
      <c r="CO602" s="1193"/>
      <c r="CP602" s="1193"/>
      <c r="CQ602" s="1195"/>
      <c r="CS602" s="1431">
        <f t="shared" si="11"/>
        <v>0</v>
      </c>
      <c r="CT602" s="1432"/>
      <c r="CU602" s="1432"/>
      <c r="CV602" s="1432"/>
      <c r="CW602" s="1433"/>
      <c r="CX602" s="1431">
        <f t="shared" si="12"/>
        <v>0</v>
      </c>
      <c r="CY602" s="1432"/>
      <c r="CZ602" s="1432"/>
      <c r="DA602" s="1432"/>
      <c r="DB602" s="1433"/>
      <c r="DC602" s="1431">
        <f t="shared" si="13"/>
        <v>0</v>
      </c>
      <c r="DD602" s="1432"/>
      <c r="DE602" s="1432"/>
      <c r="DF602" s="1432"/>
      <c r="DG602" s="1433"/>
      <c r="DH602" s="1431">
        <f t="shared" si="14"/>
        <v>0</v>
      </c>
      <c r="DI602" s="1432"/>
      <c r="DJ602" s="1432"/>
      <c r="DK602" s="1432"/>
      <c r="DL602" s="1433"/>
      <c r="DM602" s="1431">
        <f t="shared" si="15"/>
        <v>0</v>
      </c>
      <c r="DN602" s="1432"/>
      <c r="DO602" s="1432"/>
      <c r="DP602" s="1432"/>
      <c r="DQ602" s="1433"/>
      <c r="DR602" s="1431">
        <f t="shared" si="16"/>
        <v>0</v>
      </c>
      <c r="DS602" s="1432"/>
      <c r="DT602" s="1432"/>
      <c r="DU602" s="1432"/>
      <c r="DV602" s="1433"/>
    </row>
    <row r="603" spans="1:126" ht="13.35" customHeight="1">
      <c r="B603" t="s">
        <v>1390</v>
      </c>
      <c r="G603" s="1044"/>
      <c r="H603" s="1044"/>
      <c r="I603" s="1044"/>
      <c r="J603" s="1044"/>
      <c r="K603" s="1044"/>
      <c r="L603" s="1044"/>
      <c r="M603" s="1044"/>
      <c r="N603" s="1044"/>
      <c r="O603" s="1044"/>
      <c r="P603" s="1044"/>
      <c r="Q603" s="1044"/>
      <c r="R603" s="1044"/>
      <c r="U603" t="s">
        <v>1390</v>
      </c>
      <c r="Z603" s="1045"/>
      <c r="AA603" s="1045"/>
      <c r="AB603" s="1045"/>
      <c r="AC603" s="1045"/>
      <c r="AD603" s="1045"/>
      <c r="AE603" s="1045"/>
      <c r="AF603" s="1045"/>
      <c r="AG603" s="1045"/>
      <c r="AH603" s="1045"/>
      <c r="AI603" s="1045"/>
      <c r="AJ603" s="1045"/>
      <c r="AK603" s="1045"/>
      <c r="AL603" s="260"/>
      <c r="BA603" s="37"/>
      <c r="BB603" s="37"/>
      <c r="BC603" s="37"/>
      <c r="BD603" s="37"/>
      <c r="BE603" s="1192">
        <f t="shared" si="9"/>
        <v>0</v>
      </c>
      <c r="BF603" s="1195"/>
      <c r="BG603" s="1192">
        <f t="shared" si="7"/>
        <v>0</v>
      </c>
      <c r="BH603" s="1195"/>
      <c r="BI603" s="1192">
        <f t="shared" si="10"/>
        <v>0</v>
      </c>
      <c r="BJ603" s="1195"/>
      <c r="BK603" s="1192">
        <f t="shared" si="8"/>
        <v>0</v>
      </c>
      <c r="BL603" s="1195"/>
      <c r="BN603" s="1192">
        <f t="shared" si="1"/>
        <v>0</v>
      </c>
      <c r="BO603" s="1193"/>
      <c r="BP603" s="1193"/>
      <c r="BQ603" s="1193"/>
      <c r="BR603" s="1194"/>
      <c r="BS603" s="1192">
        <f t="shared" si="2"/>
        <v>0</v>
      </c>
      <c r="BT603" s="1193"/>
      <c r="BU603" s="1193"/>
      <c r="BV603" s="1193"/>
      <c r="BW603" s="1195"/>
      <c r="BX603" s="1192">
        <f t="shared" si="3"/>
        <v>0</v>
      </c>
      <c r="BY603" s="1193"/>
      <c r="BZ603" s="1193"/>
      <c r="CA603" s="1193"/>
      <c r="CB603" s="1195"/>
      <c r="CC603" s="1192">
        <f t="shared" si="4"/>
        <v>0</v>
      </c>
      <c r="CD603" s="1193"/>
      <c r="CE603" s="1193"/>
      <c r="CF603" s="1193"/>
      <c r="CG603" s="1195"/>
      <c r="CH603" s="1192">
        <f t="shared" si="5"/>
        <v>0</v>
      </c>
      <c r="CI603" s="1193"/>
      <c r="CJ603" s="1193"/>
      <c r="CK603" s="1193"/>
      <c r="CL603" s="1195"/>
      <c r="CM603" s="1192">
        <f t="shared" si="6"/>
        <v>0</v>
      </c>
      <c r="CN603" s="1193"/>
      <c r="CO603" s="1193"/>
      <c r="CP603" s="1193"/>
      <c r="CQ603" s="1195"/>
      <c r="CS603" s="1431">
        <f t="shared" si="11"/>
        <v>0</v>
      </c>
      <c r="CT603" s="1432"/>
      <c r="CU603" s="1432"/>
      <c r="CV603" s="1432"/>
      <c r="CW603" s="1433"/>
      <c r="CX603" s="1431">
        <f t="shared" si="12"/>
        <v>0</v>
      </c>
      <c r="CY603" s="1432"/>
      <c r="CZ603" s="1432"/>
      <c r="DA603" s="1432"/>
      <c r="DB603" s="1433"/>
      <c r="DC603" s="1431">
        <f t="shared" si="13"/>
        <v>0</v>
      </c>
      <c r="DD603" s="1432"/>
      <c r="DE603" s="1432"/>
      <c r="DF603" s="1432"/>
      <c r="DG603" s="1433"/>
      <c r="DH603" s="1431">
        <f t="shared" si="14"/>
        <v>0</v>
      </c>
      <c r="DI603" s="1432"/>
      <c r="DJ603" s="1432"/>
      <c r="DK603" s="1432"/>
      <c r="DL603" s="1433"/>
      <c r="DM603" s="1431">
        <f t="shared" si="15"/>
        <v>0</v>
      </c>
      <c r="DN603" s="1432"/>
      <c r="DO603" s="1432"/>
      <c r="DP603" s="1432"/>
      <c r="DQ603" s="1433"/>
      <c r="DR603" s="1431">
        <f t="shared" si="16"/>
        <v>0</v>
      </c>
      <c r="DS603" s="1432"/>
      <c r="DT603" s="1432"/>
      <c r="DU603" s="1432"/>
      <c r="DV603" s="1433"/>
    </row>
    <row r="604" spans="1:126" ht="13.35" customHeight="1">
      <c r="B604" t="s">
        <v>823</v>
      </c>
      <c r="G604" s="1068"/>
      <c r="H604" s="1068"/>
      <c r="I604" s="1068"/>
      <c r="J604" s="1068"/>
      <c r="K604" s="1068"/>
      <c r="L604" s="1068"/>
      <c r="O604" s="827" t="s">
        <v>1054</v>
      </c>
      <c r="P604" s="1093"/>
      <c r="Q604" s="1093"/>
      <c r="R604" s="1093"/>
      <c r="U604" t="s">
        <v>823</v>
      </c>
      <c r="Z604" s="1068"/>
      <c r="AA604" s="1068"/>
      <c r="AB604" s="1068"/>
      <c r="AC604" s="1068"/>
      <c r="AD604" s="1068"/>
      <c r="AE604" s="1068"/>
      <c r="AH604" s="827" t="s">
        <v>1054</v>
      </c>
      <c r="AI604" s="1093"/>
      <c r="AJ604" s="1093"/>
      <c r="AK604" s="1093"/>
      <c r="AZ604" s="37"/>
      <c r="BA604" s="37"/>
      <c r="BB604" s="37"/>
      <c r="BC604" s="37"/>
      <c r="BD604" s="37"/>
      <c r="BE604" s="1192">
        <f t="shared" si="9"/>
        <v>0</v>
      </c>
      <c r="BF604" s="1195"/>
      <c r="BG604" s="1192">
        <f t="shared" si="7"/>
        <v>0</v>
      </c>
      <c r="BH604" s="1195"/>
      <c r="BI604" s="1192">
        <f t="shared" si="10"/>
        <v>0</v>
      </c>
      <c r="BJ604" s="1195"/>
      <c r="BK604" s="1192">
        <f t="shared" si="8"/>
        <v>0</v>
      </c>
      <c r="BL604" s="1195"/>
      <c r="BN604" s="1192">
        <f t="shared" si="1"/>
        <v>0</v>
      </c>
      <c r="BO604" s="1193"/>
      <c r="BP604" s="1193"/>
      <c r="BQ604" s="1193"/>
      <c r="BR604" s="1194"/>
      <c r="BS604" s="1192">
        <f t="shared" si="2"/>
        <v>0</v>
      </c>
      <c r="BT604" s="1193"/>
      <c r="BU604" s="1193"/>
      <c r="BV604" s="1193"/>
      <c r="BW604" s="1195"/>
      <c r="BX604" s="1192">
        <f t="shared" si="3"/>
        <v>0</v>
      </c>
      <c r="BY604" s="1193"/>
      <c r="BZ604" s="1193"/>
      <c r="CA604" s="1193"/>
      <c r="CB604" s="1195"/>
      <c r="CC604" s="1192">
        <f t="shared" si="4"/>
        <v>0</v>
      </c>
      <c r="CD604" s="1193"/>
      <c r="CE604" s="1193"/>
      <c r="CF604" s="1193"/>
      <c r="CG604" s="1195"/>
      <c r="CH604" s="1192">
        <f t="shared" si="5"/>
        <v>0</v>
      </c>
      <c r="CI604" s="1193"/>
      <c r="CJ604" s="1193"/>
      <c r="CK604" s="1193"/>
      <c r="CL604" s="1195"/>
      <c r="CM604" s="1192">
        <f t="shared" si="6"/>
        <v>0</v>
      </c>
      <c r="CN604" s="1193"/>
      <c r="CO604" s="1193"/>
      <c r="CP604" s="1193"/>
      <c r="CQ604" s="1195"/>
      <c r="CS604" s="1431">
        <f t="shared" si="11"/>
        <v>0</v>
      </c>
      <c r="CT604" s="1432"/>
      <c r="CU604" s="1432"/>
      <c r="CV604" s="1432"/>
      <c r="CW604" s="1433"/>
      <c r="CX604" s="1431">
        <f t="shared" si="12"/>
        <v>0</v>
      </c>
      <c r="CY604" s="1432"/>
      <c r="CZ604" s="1432"/>
      <c r="DA604" s="1432"/>
      <c r="DB604" s="1433"/>
      <c r="DC604" s="1431">
        <f t="shared" si="13"/>
        <v>0</v>
      </c>
      <c r="DD604" s="1432"/>
      <c r="DE604" s="1432"/>
      <c r="DF604" s="1432"/>
      <c r="DG604" s="1433"/>
      <c r="DH604" s="1431">
        <f t="shared" si="14"/>
        <v>0</v>
      </c>
      <c r="DI604" s="1432"/>
      <c r="DJ604" s="1432"/>
      <c r="DK604" s="1432"/>
      <c r="DL604" s="1433"/>
      <c r="DM604" s="1431">
        <f t="shared" si="15"/>
        <v>0</v>
      </c>
      <c r="DN604" s="1432"/>
      <c r="DO604" s="1432"/>
      <c r="DP604" s="1432"/>
      <c r="DQ604" s="1433"/>
      <c r="DR604" s="1431">
        <f t="shared" si="16"/>
        <v>0</v>
      </c>
      <c r="DS604" s="1432"/>
      <c r="DT604" s="1432"/>
      <c r="DU604" s="1432"/>
      <c r="DV604" s="1433"/>
    </row>
    <row r="605" spans="1:126" ht="13.35" customHeight="1">
      <c r="B605" t="s">
        <v>1393</v>
      </c>
      <c r="H605" s="1044"/>
      <c r="I605" s="1044"/>
      <c r="J605" s="1044"/>
      <c r="K605" s="1044"/>
      <c r="L605" s="1044"/>
      <c r="M605" s="1044"/>
      <c r="N605" s="1044"/>
      <c r="O605" s="1044"/>
      <c r="P605" s="1044"/>
      <c r="Q605" s="1044"/>
      <c r="R605" s="1044"/>
      <c r="U605" t="s">
        <v>1393</v>
      </c>
      <c r="AA605" s="1044"/>
      <c r="AB605" s="1044"/>
      <c r="AC605" s="1044"/>
      <c r="AD605" s="1044"/>
      <c r="AE605" s="1044"/>
      <c r="AF605" s="1044"/>
      <c r="AG605" s="1044"/>
      <c r="AH605" s="1044"/>
      <c r="AI605" s="1044"/>
      <c r="AJ605" s="1044"/>
      <c r="AK605" s="1044"/>
      <c r="AZ605" s="37"/>
      <c r="BA605" s="37"/>
      <c r="BB605" s="37"/>
      <c r="BC605" s="37"/>
      <c r="BD605" s="37"/>
      <c r="BE605" s="1192">
        <f t="shared" si="9"/>
        <v>0</v>
      </c>
      <c r="BF605" s="1195"/>
      <c r="BG605" s="1192">
        <f t="shared" si="7"/>
        <v>0</v>
      </c>
      <c r="BH605" s="1195"/>
      <c r="BI605" s="1192">
        <f t="shared" si="10"/>
        <v>0</v>
      </c>
      <c r="BJ605" s="1195"/>
      <c r="BK605" s="1192">
        <f t="shared" si="8"/>
        <v>0</v>
      </c>
      <c r="BL605" s="1195"/>
      <c r="BN605" s="1192">
        <f t="shared" si="1"/>
        <v>0</v>
      </c>
      <c r="BO605" s="1193"/>
      <c r="BP605" s="1193"/>
      <c r="BQ605" s="1193"/>
      <c r="BR605" s="1194"/>
      <c r="BS605" s="1192">
        <f t="shared" si="2"/>
        <v>0</v>
      </c>
      <c r="BT605" s="1193"/>
      <c r="BU605" s="1193"/>
      <c r="BV605" s="1193"/>
      <c r="BW605" s="1195"/>
      <c r="BX605" s="1192">
        <f t="shared" si="3"/>
        <v>0</v>
      </c>
      <c r="BY605" s="1193"/>
      <c r="BZ605" s="1193"/>
      <c r="CA605" s="1193"/>
      <c r="CB605" s="1195"/>
      <c r="CC605" s="1192">
        <f t="shared" si="4"/>
        <v>0</v>
      </c>
      <c r="CD605" s="1193"/>
      <c r="CE605" s="1193"/>
      <c r="CF605" s="1193"/>
      <c r="CG605" s="1195"/>
      <c r="CH605" s="1192">
        <f t="shared" si="5"/>
        <v>0</v>
      </c>
      <c r="CI605" s="1193"/>
      <c r="CJ605" s="1193"/>
      <c r="CK605" s="1193"/>
      <c r="CL605" s="1195"/>
      <c r="CM605" s="1192">
        <f t="shared" si="6"/>
        <v>0</v>
      </c>
      <c r="CN605" s="1193"/>
      <c r="CO605" s="1193"/>
      <c r="CP605" s="1193"/>
      <c r="CQ605" s="1195"/>
      <c r="CS605" s="1431">
        <f t="shared" si="11"/>
        <v>0</v>
      </c>
      <c r="CT605" s="1432"/>
      <c r="CU605" s="1432"/>
      <c r="CV605" s="1432"/>
      <c r="CW605" s="1433"/>
      <c r="CX605" s="1431">
        <f t="shared" si="12"/>
        <v>0</v>
      </c>
      <c r="CY605" s="1432"/>
      <c r="CZ605" s="1432"/>
      <c r="DA605" s="1432"/>
      <c r="DB605" s="1433"/>
      <c r="DC605" s="1431">
        <f t="shared" si="13"/>
        <v>0</v>
      </c>
      <c r="DD605" s="1432"/>
      <c r="DE605" s="1432"/>
      <c r="DF605" s="1432"/>
      <c r="DG605" s="1433"/>
      <c r="DH605" s="1431">
        <f t="shared" si="14"/>
        <v>0</v>
      </c>
      <c r="DI605" s="1432"/>
      <c r="DJ605" s="1432"/>
      <c r="DK605" s="1432"/>
      <c r="DL605" s="1433"/>
      <c r="DM605" s="1431">
        <f t="shared" si="15"/>
        <v>0</v>
      </c>
      <c r="DN605" s="1432"/>
      <c r="DO605" s="1432"/>
      <c r="DP605" s="1432"/>
      <c r="DQ605" s="1433"/>
      <c r="DR605" s="1431">
        <f t="shared" si="16"/>
        <v>0</v>
      </c>
      <c r="DS605" s="1432"/>
      <c r="DT605" s="1432"/>
      <c r="DU605" s="1432"/>
      <c r="DV605" s="1433"/>
    </row>
    <row r="606" spans="1:126" ht="13.35" customHeight="1">
      <c r="B606" t="s">
        <v>1395</v>
      </c>
      <c r="N606" s="1069" t="s">
        <v>712</v>
      </c>
      <c r="O606" s="1069"/>
      <c r="U606" t="s">
        <v>1395</v>
      </c>
      <c r="AG606" s="1069" t="s">
        <v>712</v>
      </c>
      <c r="AH606" s="1069"/>
      <c r="AZ606" s="37"/>
      <c r="BA606" s="37"/>
      <c r="BB606" s="37"/>
      <c r="BC606" s="37"/>
      <c r="BD606" s="37"/>
      <c r="BE606" s="1192">
        <f t="shared" si="9"/>
        <v>0</v>
      </c>
      <c r="BF606" s="1195"/>
      <c r="BG606" s="1192">
        <f t="shared" si="7"/>
        <v>0</v>
      </c>
      <c r="BH606" s="1195"/>
      <c r="BI606" s="1192">
        <f t="shared" si="10"/>
        <v>0</v>
      </c>
      <c r="BJ606" s="1195"/>
      <c r="BK606" s="1192">
        <f t="shared" si="8"/>
        <v>0</v>
      </c>
      <c r="BL606" s="1195"/>
      <c r="BN606" s="1192">
        <f t="shared" si="1"/>
        <v>0</v>
      </c>
      <c r="BO606" s="1193"/>
      <c r="BP606" s="1193"/>
      <c r="BQ606" s="1193"/>
      <c r="BR606" s="1194"/>
      <c r="BS606" s="1192">
        <f t="shared" si="2"/>
        <v>0</v>
      </c>
      <c r="BT606" s="1193"/>
      <c r="BU606" s="1193"/>
      <c r="BV606" s="1193"/>
      <c r="BW606" s="1195"/>
      <c r="BX606" s="1192">
        <f t="shared" si="3"/>
        <v>0</v>
      </c>
      <c r="BY606" s="1193"/>
      <c r="BZ606" s="1193"/>
      <c r="CA606" s="1193"/>
      <c r="CB606" s="1195"/>
      <c r="CC606" s="1192">
        <f t="shared" si="4"/>
        <v>0</v>
      </c>
      <c r="CD606" s="1193"/>
      <c r="CE606" s="1193"/>
      <c r="CF606" s="1193"/>
      <c r="CG606" s="1195"/>
      <c r="CH606" s="1192">
        <f t="shared" si="5"/>
        <v>0</v>
      </c>
      <c r="CI606" s="1193"/>
      <c r="CJ606" s="1193"/>
      <c r="CK606" s="1193"/>
      <c r="CL606" s="1195"/>
      <c r="CM606" s="1192">
        <f t="shared" si="6"/>
        <v>0</v>
      </c>
      <c r="CN606" s="1193"/>
      <c r="CO606" s="1193"/>
      <c r="CP606" s="1193"/>
      <c r="CQ606" s="1195"/>
      <c r="CS606" s="1431">
        <f t="shared" si="11"/>
        <v>0</v>
      </c>
      <c r="CT606" s="1432"/>
      <c r="CU606" s="1432"/>
      <c r="CV606" s="1432"/>
      <c r="CW606" s="1433"/>
      <c r="CX606" s="1431">
        <f t="shared" si="12"/>
        <v>0</v>
      </c>
      <c r="CY606" s="1432"/>
      <c r="CZ606" s="1432"/>
      <c r="DA606" s="1432"/>
      <c r="DB606" s="1433"/>
      <c r="DC606" s="1431">
        <f t="shared" si="13"/>
        <v>0</v>
      </c>
      <c r="DD606" s="1432"/>
      <c r="DE606" s="1432"/>
      <c r="DF606" s="1432"/>
      <c r="DG606" s="1433"/>
      <c r="DH606" s="1431">
        <f t="shared" si="14"/>
        <v>0</v>
      </c>
      <c r="DI606" s="1432"/>
      <c r="DJ606" s="1432"/>
      <c r="DK606" s="1432"/>
      <c r="DL606" s="1433"/>
      <c r="DM606" s="1431">
        <f t="shared" si="15"/>
        <v>0</v>
      </c>
      <c r="DN606" s="1432"/>
      <c r="DO606" s="1432"/>
      <c r="DP606" s="1432"/>
      <c r="DQ606" s="1433"/>
      <c r="DR606" s="1431">
        <f t="shared" si="16"/>
        <v>0</v>
      </c>
      <c r="DS606" s="1432"/>
      <c r="DT606" s="1432"/>
      <c r="DU606" s="1432"/>
      <c r="DV606" s="1433"/>
    </row>
    <row r="607" spans="1:126" ht="13.35" customHeight="1">
      <c r="AZ607" s="37"/>
      <c r="BA607" s="37"/>
      <c r="BB607" s="37"/>
      <c r="BC607" s="37"/>
      <c r="BD607" s="37"/>
      <c r="BE607" s="1192">
        <f t="shared" si="9"/>
        <v>0</v>
      </c>
      <c r="BF607" s="1195"/>
      <c r="BG607" s="1192">
        <f t="shared" si="7"/>
        <v>0</v>
      </c>
      <c r="BH607" s="1195"/>
      <c r="BI607" s="1192">
        <f t="shared" si="10"/>
        <v>0</v>
      </c>
      <c r="BJ607" s="1195"/>
      <c r="BK607" s="1192">
        <f t="shared" si="8"/>
        <v>0</v>
      </c>
      <c r="BL607" s="1195"/>
      <c r="BN607" s="1192">
        <f t="shared" si="1"/>
        <v>0</v>
      </c>
      <c r="BO607" s="1193"/>
      <c r="BP607" s="1193"/>
      <c r="BQ607" s="1193"/>
      <c r="BR607" s="1194"/>
      <c r="BS607" s="1192">
        <f t="shared" si="2"/>
        <v>0</v>
      </c>
      <c r="BT607" s="1193"/>
      <c r="BU607" s="1193"/>
      <c r="BV607" s="1193"/>
      <c r="BW607" s="1195"/>
      <c r="BX607" s="1192">
        <f t="shared" si="3"/>
        <v>0</v>
      </c>
      <c r="BY607" s="1193"/>
      <c r="BZ607" s="1193"/>
      <c r="CA607" s="1193"/>
      <c r="CB607" s="1195"/>
      <c r="CC607" s="1192">
        <f t="shared" si="4"/>
        <v>0</v>
      </c>
      <c r="CD607" s="1193"/>
      <c r="CE607" s="1193"/>
      <c r="CF607" s="1193"/>
      <c r="CG607" s="1195"/>
      <c r="CH607" s="1192">
        <f t="shared" si="5"/>
        <v>0</v>
      </c>
      <c r="CI607" s="1193"/>
      <c r="CJ607" s="1193"/>
      <c r="CK607" s="1193"/>
      <c r="CL607" s="1195"/>
      <c r="CM607" s="1192">
        <f t="shared" si="6"/>
        <v>0</v>
      </c>
      <c r="CN607" s="1193"/>
      <c r="CO607" s="1193"/>
      <c r="CP607" s="1193"/>
      <c r="CQ607" s="1195"/>
      <c r="CS607" s="1431">
        <f t="shared" si="11"/>
        <v>0</v>
      </c>
      <c r="CT607" s="1432"/>
      <c r="CU607" s="1432"/>
      <c r="CV607" s="1432"/>
      <c r="CW607" s="1433"/>
      <c r="CX607" s="1431">
        <f t="shared" si="12"/>
        <v>0</v>
      </c>
      <c r="CY607" s="1432"/>
      <c r="CZ607" s="1432"/>
      <c r="DA607" s="1432"/>
      <c r="DB607" s="1433"/>
      <c r="DC607" s="1431">
        <f t="shared" si="13"/>
        <v>0</v>
      </c>
      <c r="DD607" s="1432"/>
      <c r="DE607" s="1432"/>
      <c r="DF607" s="1432"/>
      <c r="DG607" s="1433"/>
      <c r="DH607" s="1431">
        <f t="shared" si="14"/>
        <v>0</v>
      </c>
      <c r="DI607" s="1432"/>
      <c r="DJ607" s="1432"/>
      <c r="DK607" s="1432"/>
      <c r="DL607" s="1433"/>
      <c r="DM607" s="1431">
        <f t="shared" si="15"/>
        <v>0</v>
      </c>
      <c r="DN607" s="1432"/>
      <c r="DO607" s="1432"/>
      <c r="DP607" s="1432"/>
      <c r="DQ607" s="1433"/>
      <c r="DR607" s="1431">
        <f t="shared" si="16"/>
        <v>0</v>
      </c>
      <c r="DS607" s="1432"/>
      <c r="DT607" s="1432"/>
      <c r="DU607" s="1432"/>
      <c r="DV607" s="1433"/>
    </row>
    <row r="608" spans="1:126" ht="13.35" customHeight="1">
      <c r="A608" s="934" t="s">
        <v>1410</v>
      </c>
      <c r="B608" s="934"/>
      <c r="C608" s="934"/>
      <c r="D608" s="934"/>
      <c r="E608" s="934"/>
      <c r="F608" s="934"/>
      <c r="G608" s="934"/>
      <c r="H608" s="934"/>
      <c r="I608" s="934"/>
      <c r="J608" s="934"/>
      <c r="K608" s="934"/>
      <c r="L608" s="934"/>
      <c r="M608" s="934"/>
      <c r="N608" s="934"/>
      <c r="O608" s="934"/>
      <c r="P608" s="934"/>
      <c r="Q608" s="934"/>
      <c r="R608" s="934"/>
      <c r="S608" s="934"/>
      <c r="T608" s="934"/>
      <c r="U608" s="934"/>
      <c r="V608" s="934"/>
      <c r="W608" s="934"/>
      <c r="X608" s="934"/>
      <c r="Y608" s="934"/>
      <c r="Z608" s="934"/>
      <c r="AA608" s="934"/>
      <c r="AB608" s="934"/>
      <c r="AC608" s="934"/>
      <c r="AD608" s="934"/>
      <c r="AE608" s="934"/>
      <c r="AF608" s="934"/>
      <c r="AG608" s="934"/>
      <c r="AH608" s="934"/>
      <c r="AI608" s="934"/>
      <c r="AJ608" s="934"/>
      <c r="AK608" s="934"/>
      <c r="AL608" s="934"/>
      <c r="AM608" s="934"/>
      <c r="AN608" s="934"/>
      <c r="AO608" s="934"/>
      <c r="AP608" s="934"/>
      <c r="AQ608" s="934"/>
      <c r="AR608" s="934"/>
      <c r="AS608" s="934"/>
      <c r="AZ608" s="37"/>
      <c r="BA608" s="37"/>
      <c r="BB608" s="37"/>
      <c r="BC608" s="37"/>
      <c r="BD608" s="37"/>
      <c r="BE608" s="1192">
        <f t="shared" si="9"/>
        <v>0</v>
      </c>
      <c r="BF608" s="1195"/>
      <c r="BG608" s="1192">
        <f t="shared" si="7"/>
        <v>0</v>
      </c>
      <c r="BH608" s="1195"/>
      <c r="BI608" s="1192">
        <f t="shared" si="10"/>
        <v>0</v>
      </c>
      <c r="BJ608" s="1195"/>
      <c r="BK608" s="1192">
        <f t="shared" si="8"/>
        <v>0</v>
      </c>
      <c r="BL608" s="1195"/>
      <c r="BN608" s="1192">
        <f t="shared" si="1"/>
        <v>0</v>
      </c>
      <c r="BO608" s="1193"/>
      <c r="BP608" s="1193"/>
      <c r="BQ608" s="1193"/>
      <c r="BR608" s="1194"/>
      <c r="BS608" s="1192">
        <f t="shared" si="2"/>
        <v>0</v>
      </c>
      <c r="BT608" s="1193"/>
      <c r="BU608" s="1193"/>
      <c r="BV608" s="1193"/>
      <c r="BW608" s="1195"/>
      <c r="BX608" s="1192">
        <f t="shared" si="3"/>
        <v>0</v>
      </c>
      <c r="BY608" s="1193"/>
      <c r="BZ608" s="1193"/>
      <c r="CA608" s="1193"/>
      <c r="CB608" s="1195"/>
      <c r="CC608" s="1192">
        <f t="shared" si="4"/>
        <v>0</v>
      </c>
      <c r="CD608" s="1193"/>
      <c r="CE608" s="1193"/>
      <c r="CF608" s="1193"/>
      <c r="CG608" s="1195"/>
      <c r="CH608" s="1192">
        <f t="shared" si="5"/>
        <v>0</v>
      </c>
      <c r="CI608" s="1193"/>
      <c r="CJ608" s="1193"/>
      <c r="CK608" s="1193"/>
      <c r="CL608" s="1195"/>
      <c r="CM608" s="1192">
        <f t="shared" si="6"/>
        <v>0</v>
      </c>
      <c r="CN608" s="1193"/>
      <c r="CO608" s="1193"/>
      <c r="CP608" s="1193"/>
      <c r="CQ608" s="1195"/>
      <c r="CS608" s="1431">
        <f t="shared" si="11"/>
        <v>0</v>
      </c>
      <c r="CT608" s="1432"/>
      <c r="CU608" s="1432"/>
      <c r="CV608" s="1432"/>
      <c r="CW608" s="1433"/>
      <c r="CX608" s="1431">
        <f t="shared" si="12"/>
        <v>0</v>
      </c>
      <c r="CY608" s="1432"/>
      <c r="CZ608" s="1432"/>
      <c r="DA608" s="1432"/>
      <c r="DB608" s="1433"/>
      <c r="DC608" s="1431">
        <f t="shared" si="13"/>
        <v>0</v>
      </c>
      <c r="DD608" s="1432"/>
      <c r="DE608" s="1432"/>
      <c r="DF608" s="1432"/>
      <c r="DG608" s="1433"/>
      <c r="DH608" s="1431">
        <f t="shared" si="14"/>
        <v>0</v>
      </c>
      <c r="DI608" s="1432"/>
      <c r="DJ608" s="1432"/>
      <c r="DK608" s="1432"/>
      <c r="DL608" s="1433"/>
      <c r="DM608" s="1431">
        <f t="shared" si="15"/>
        <v>0</v>
      </c>
      <c r="DN608" s="1432"/>
      <c r="DO608" s="1432"/>
      <c r="DP608" s="1432"/>
      <c r="DQ608" s="1433"/>
      <c r="DR608" s="1431">
        <f t="shared" si="16"/>
        <v>0</v>
      </c>
      <c r="DS608" s="1432"/>
      <c r="DT608" s="1432"/>
      <c r="DU608" s="1432"/>
      <c r="DV608" s="1433"/>
    </row>
    <row r="609" spans="1:126" ht="13.35" customHeight="1">
      <c r="A609" s="934"/>
      <c r="B609" s="934"/>
      <c r="C609" s="934"/>
      <c r="D609" s="934"/>
      <c r="E609" s="934"/>
      <c r="F609" s="934"/>
      <c r="G609" s="934"/>
      <c r="H609" s="934"/>
      <c r="I609" s="934"/>
      <c r="J609" s="934"/>
      <c r="K609" s="934"/>
      <c r="L609" s="934"/>
      <c r="M609" s="934"/>
      <c r="N609" s="934"/>
      <c r="O609" s="934"/>
      <c r="P609" s="934"/>
      <c r="Q609" s="934"/>
      <c r="R609" s="934"/>
      <c r="S609" s="934"/>
      <c r="T609" s="934"/>
      <c r="U609" s="934"/>
      <c r="V609" s="934"/>
      <c r="W609" s="934"/>
      <c r="X609" s="934"/>
      <c r="Y609" s="934"/>
      <c r="Z609" s="934"/>
      <c r="AA609" s="934"/>
      <c r="AB609" s="934"/>
      <c r="AC609" s="934"/>
      <c r="AD609" s="934"/>
      <c r="AE609" s="934"/>
      <c r="AF609" s="934"/>
      <c r="AG609" s="934"/>
      <c r="AH609" s="934"/>
      <c r="AI609" s="934"/>
      <c r="AJ609" s="934"/>
      <c r="AK609" s="934"/>
      <c r="AL609" s="934"/>
      <c r="AM609" s="934"/>
      <c r="AN609" s="934"/>
      <c r="AO609" s="934"/>
      <c r="AP609" s="934"/>
      <c r="AQ609" s="934"/>
      <c r="AR609" s="934"/>
      <c r="AS609" s="934"/>
      <c r="AZ609" s="37"/>
      <c r="BA609" s="37"/>
      <c r="BB609" s="37"/>
      <c r="BC609" s="37"/>
      <c r="BD609" s="37"/>
      <c r="BE609" s="1192">
        <f t="shared" si="9"/>
        <v>0</v>
      </c>
      <c r="BF609" s="1195"/>
      <c r="BG609" s="1192">
        <f t="shared" si="7"/>
        <v>0</v>
      </c>
      <c r="BH609" s="1195"/>
      <c r="BI609" s="1192">
        <f t="shared" si="10"/>
        <v>0</v>
      </c>
      <c r="BJ609" s="1195"/>
      <c r="BK609" s="1192">
        <f t="shared" si="8"/>
        <v>0</v>
      </c>
      <c r="BL609" s="1195"/>
      <c r="BN609" s="1192">
        <f t="shared" si="1"/>
        <v>0</v>
      </c>
      <c r="BO609" s="1193"/>
      <c r="BP609" s="1193"/>
      <c r="BQ609" s="1193"/>
      <c r="BR609" s="1194"/>
      <c r="BS609" s="1192">
        <f t="shared" si="2"/>
        <v>0</v>
      </c>
      <c r="BT609" s="1193"/>
      <c r="BU609" s="1193"/>
      <c r="BV609" s="1193"/>
      <c r="BW609" s="1195"/>
      <c r="BX609" s="1192">
        <f t="shared" si="3"/>
        <v>0</v>
      </c>
      <c r="BY609" s="1193"/>
      <c r="BZ609" s="1193"/>
      <c r="CA609" s="1193"/>
      <c r="CB609" s="1195"/>
      <c r="CC609" s="1192">
        <f t="shared" si="4"/>
        <v>0</v>
      </c>
      <c r="CD609" s="1193"/>
      <c r="CE609" s="1193"/>
      <c r="CF609" s="1193"/>
      <c r="CG609" s="1195"/>
      <c r="CH609" s="1192">
        <f t="shared" si="5"/>
        <v>0</v>
      </c>
      <c r="CI609" s="1193"/>
      <c r="CJ609" s="1193"/>
      <c r="CK609" s="1193"/>
      <c r="CL609" s="1195"/>
      <c r="CM609" s="1192">
        <f t="shared" si="6"/>
        <v>0</v>
      </c>
      <c r="CN609" s="1193"/>
      <c r="CO609" s="1193"/>
      <c r="CP609" s="1193"/>
      <c r="CQ609" s="1195"/>
      <c r="CS609" s="1431">
        <f t="shared" si="11"/>
        <v>0</v>
      </c>
      <c r="CT609" s="1432"/>
      <c r="CU609" s="1432"/>
      <c r="CV609" s="1432"/>
      <c r="CW609" s="1433"/>
      <c r="CX609" s="1431">
        <f t="shared" si="12"/>
        <v>0</v>
      </c>
      <c r="CY609" s="1432"/>
      <c r="CZ609" s="1432"/>
      <c r="DA609" s="1432"/>
      <c r="DB609" s="1433"/>
      <c r="DC609" s="1431">
        <f t="shared" si="13"/>
        <v>0</v>
      </c>
      <c r="DD609" s="1432"/>
      <c r="DE609" s="1432"/>
      <c r="DF609" s="1432"/>
      <c r="DG609" s="1433"/>
      <c r="DH609" s="1431">
        <f t="shared" si="14"/>
        <v>0</v>
      </c>
      <c r="DI609" s="1432"/>
      <c r="DJ609" s="1432"/>
      <c r="DK609" s="1432"/>
      <c r="DL609" s="1433"/>
      <c r="DM609" s="1431">
        <f t="shared" si="15"/>
        <v>0</v>
      </c>
      <c r="DN609" s="1432"/>
      <c r="DO609" s="1432"/>
      <c r="DP609" s="1432"/>
      <c r="DQ609" s="1433"/>
      <c r="DR609" s="1431">
        <f t="shared" si="16"/>
        <v>0</v>
      </c>
      <c r="DS609" s="1432"/>
      <c r="DT609" s="1432"/>
      <c r="DU609" s="1432"/>
      <c r="DV609" s="1433"/>
    </row>
    <row r="610" spans="1:126" ht="13.35" customHeight="1">
      <c r="AZ610" s="37"/>
      <c r="BA610" s="37"/>
      <c r="BB610" s="37"/>
      <c r="BC610" s="37"/>
      <c r="BD610" s="37"/>
      <c r="BE610" s="1192">
        <f t="shared" si="9"/>
        <v>0</v>
      </c>
      <c r="BF610" s="1195"/>
      <c r="BG610" s="1192">
        <f t="shared" si="7"/>
        <v>0</v>
      </c>
      <c r="BH610" s="1195"/>
      <c r="BI610" s="1192">
        <f t="shared" si="10"/>
        <v>0</v>
      </c>
      <c r="BJ610" s="1195"/>
      <c r="BK610" s="1192">
        <f t="shared" si="8"/>
        <v>0</v>
      </c>
      <c r="BL610" s="1195"/>
      <c r="BN610" s="1192">
        <f t="shared" si="1"/>
        <v>0</v>
      </c>
      <c r="BO610" s="1193"/>
      <c r="BP610" s="1193"/>
      <c r="BQ610" s="1193"/>
      <c r="BR610" s="1194"/>
      <c r="BS610" s="1192">
        <f t="shared" si="2"/>
        <v>0</v>
      </c>
      <c r="BT610" s="1193"/>
      <c r="BU610" s="1193"/>
      <c r="BV610" s="1193"/>
      <c r="BW610" s="1195"/>
      <c r="BX610" s="1192">
        <f t="shared" si="3"/>
        <v>0</v>
      </c>
      <c r="BY610" s="1193"/>
      <c r="BZ610" s="1193"/>
      <c r="CA610" s="1193"/>
      <c r="CB610" s="1195"/>
      <c r="CC610" s="1192">
        <f t="shared" si="4"/>
        <v>0</v>
      </c>
      <c r="CD610" s="1193"/>
      <c r="CE610" s="1193"/>
      <c r="CF610" s="1193"/>
      <c r="CG610" s="1195"/>
      <c r="CH610" s="1192">
        <f t="shared" si="5"/>
        <v>0</v>
      </c>
      <c r="CI610" s="1193"/>
      <c r="CJ610" s="1193"/>
      <c r="CK610" s="1193"/>
      <c r="CL610" s="1195"/>
      <c r="CM610" s="1192">
        <f t="shared" si="6"/>
        <v>0</v>
      </c>
      <c r="CN610" s="1193"/>
      <c r="CO610" s="1193"/>
      <c r="CP610" s="1193"/>
      <c r="CQ610" s="1195"/>
      <c r="CS610" s="1431">
        <f t="shared" si="11"/>
        <v>0</v>
      </c>
      <c r="CT610" s="1432"/>
      <c r="CU610" s="1432"/>
      <c r="CV610" s="1432"/>
      <c r="CW610" s="1433"/>
      <c r="CX610" s="1431">
        <f t="shared" si="12"/>
        <v>0</v>
      </c>
      <c r="CY610" s="1432"/>
      <c r="CZ610" s="1432"/>
      <c r="DA610" s="1432"/>
      <c r="DB610" s="1433"/>
      <c r="DC610" s="1431">
        <f t="shared" si="13"/>
        <v>0</v>
      </c>
      <c r="DD610" s="1432"/>
      <c r="DE610" s="1432"/>
      <c r="DF610" s="1432"/>
      <c r="DG610" s="1433"/>
      <c r="DH610" s="1431">
        <f t="shared" si="14"/>
        <v>0</v>
      </c>
      <c r="DI610" s="1432"/>
      <c r="DJ610" s="1432"/>
      <c r="DK610" s="1432"/>
      <c r="DL610" s="1433"/>
      <c r="DM610" s="1431">
        <f t="shared" si="15"/>
        <v>0</v>
      </c>
      <c r="DN610" s="1432"/>
      <c r="DO610" s="1432"/>
      <c r="DP610" s="1432"/>
      <c r="DQ610" s="1433"/>
      <c r="DR610" s="1431">
        <f t="shared" si="16"/>
        <v>0</v>
      </c>
      <c r="DS610" s="1432"/>
      <c r="DT610" s="1432"/>
      <c r="DU610" s="1432"/>
      <c r="DV610" s="1433"/>
    </row>
    <row r="611" spans="1:126" ht="13.35" customHeight="1">
      <c r="A611" s="3" t="s">
        <v>854</v>
      </c>
      <c r="B611" s="3"/>
      <c r="C611" s="3" t="s">
        <v>184</v>
      </c>
      <c r="AZ611" s="37"/>
      <c r="BA611" s="37"/>
      <c r="BB611" s="37"/>
      <c r="BC611" s="37"/>
      <c r="BD611" s="37"/>
      <c r="BE611" s="1192">
        <f t="shared" si="9"/>
        <v>0</v>
      </c>
      <c r="BF611" s="1195"/>
      <c r="BG611" s="1192">
        <f t="shared" si="7"/>
        <v>0</v>
      </c>
      <c r="BH611" s="1195"/>
      <c r="BI611" s="1192">
        <f t="shared" si="10"/>
        <v>0</v>
      </c>
      <c r="BJ611" s="1195"/>
      <c r="BK611" s="1192">
        <f t="shared" si="8"/>
        <v>0</v>
      </c>
      <c r="BL611" s="1195"/>
      <c r="BN611" s="1192">
        <f t="shared" si="1"/>
        <v>0</v>
      </c>
      <c r="BO611" s="1193"/>
      <c r="BP611" s="1193"/>
      <c r="BQ611" s="1193"/>
      <c r="BR611" s="1194"/>
      <c r="BS611" s="1192">
        <f t="shared" si="2"/>
        <v>0</v>
      </c>
      <c r="BT611" s="1193"/>
      <c r="BU611" s="1193"/>
      <c r="BV611" s="1193"/>
      <c r="BW611" s="1195"/>
      <c r="BX611" s="1192">
        <f t="shared" si="3"/>
        <v>0</v>
      </c>
      <c r="BY611" s="1193"/>
      <c r="BZ611" s="1193"/>
      <c r="CA611" s="1193"/>
      <c r="CB611" s="1195"/>
      <c r="CC611" s="1192">
        <f t="shared" si="4"/>
        <v>0</v>
      </c>
      <c r="CD611" s="1193"/>
      <c r="CE611" s="1193"/>
      <c r="CF611" s="1193"/>
      <c r="CG611" s="1195"/>
      <c r="CH611" s="1192">
        <f t="shared" si="5"/>
        <v>0</v>
      </c>
      <c r="CI611" s="1193"/>
      <c r="CJ611" s="1193"/>
      <c r="CK611" s="1193"/>
      <c r="CL611" s="1195"/>
      <c r="CM611" s="1192">
        <f t="shared" si="6"/>
        <v>0</v>
      </c>
      <c r="CN611" s="1193"/>
      <c r="CO611" s="1193"/>
      <c r="CP611" s="1193"/>
      <c r="CQ611" s="1195"/>
      <c r="CS611" s="1431">
        <f t="shared" si="11"/>
        <v>0</v>
      </c>
      <c r="CT611" s="1432"/>
      <c r="CU611" s="1432"/>
      <c r="CV611" s="1432"/>
      <c r="CW611" s="1433"/>
      <c r="CX611" s="1431">
        <f t="shared" si="12"/>
        <v>0</v>
      </c>
      <c r="CY611" s="1432"/>
      <c r="CZ611" s="1432"/>
      <c r="DA611" s="1432"/>
      <c r="DB611" s="1433"/>
      <c r="DC611" s="1431">
        <f t="shared" si="13"/>
        <v>0</v>
      </c>
      <c r="DD611" s="1432"/>
      <c r="DE611" s="1432"/>
      <c r="DF611" s="1432"/>
      <c r="DG611" s="1433"/>
      <c r="DH611" s="1431">
        <f t="shared" si="14"/>
        <v>0</v>
      </c>
      <c r="DI611" s="1432"/>
      <c r="DJ611" s="1432"/>
      <c r="DK611" s="1432"/>
      <c r="DL611" s="1433"/>
      <c r="DM611" s="1431">
        <f t="shared" si="15"/>
        <v>0</v>
      </c>
      <c r="DN611" s="1432"/>
      <c r="DO611" s="1432"/>
      <c r="DP611" s="1432"/>
      <c r="DQ611" s="1433"/>
      <c r="DR611" s="1431">
        <f t="shared" si="16"/>
        <v>0</v>
      </c>
      <c r="DS611" s="1432"/>
      <c r="DT611" s="1432"/>
      <c r="DU611" s="1432"/>
      <c r="DV611" s="1433"/>
    </row>
    <row r="612" spans="1:126" ht="13.35" customHeight="1">
      <c r="A612" s="3"/>
      <c r="B612" s="3"/>
      <c r="C612" s="3"/>
      <c r="AZ612" s="37"/>
      <c r="BA612" s="37"/>
      <c r="BB612" s="37"/>
      <c r="BC612" s="37"/>
      <c r="BD612" s="37"/>
      <c r="BE612" s="1192">
        <f t="shared" si="9"/>
        <v>0</v>
      </c>
      <c r="BF612" s="1195"/>
      <c r="BG612" s="1192">
        <f t="shared" si="7"/>
        <v>0</v>
      </c>
      <c r="BH612" s="1195"/>
      <c r="BI612" s="1192">
        <f t="shared" si="10"/>
        <v>0</v>
      </c>
      <c r="BJ612" s="1195"/>
      <c r="BK612" s="1192">
        <f t="shared" si="8"/>
        <v>0</v>
      </c>
      <c r="BL612" s="1195"/>
      <c r="BN612" s="1192">
        <f t="shared" si="1"/>
        <v>0</v>
      </c>
      <c r="BO612" s="1193"/>
      <c r="BP612" s="1193"/>
      <c r="BQ612" s="1193"/>
      <c r="BR612" s="1194"/>
      <c r="BS612" s="1192">
        <f t="shared" si="2"/>
        <v>0</v>
      </c>
      <c r="BT612" s="1193"/>
      <c r="BU612" s="1193"/>
      <c r="BV612" s="1193"/>
      <c r="BW612" s="1195"/>
      <c r="BX612" s="1192">
        <f t="shared" si="3"/>
        <v>0</v>
      </c>
      <c r="BY612" s="1193"/>
      <c r="BZ612" s="1193"/>
      <c r="CA612" s="1193"/>
      <c r="CB612" s="1195"/>
      <c r="CC612" s="1192">
        <f t="shared" si="4"/>
        <v>0</v>
      </c>
      <c r="CD612" s="1193"/>
      <c r="CE612" s="1193"/>
      <c r="CF612" s="1193"/>
      <c r="CG612" s="1195"/>
      <c r="CH612" s="1192">
        <f t="shared" si="5"/>
        <v>0</v>
      </c>
      <c r="CI612" s="1193"/>
      <c r="CJ612" s="1193"/>
      <c r="CK612" s="1193"/>
      <c r="CL612" s="1195"/>
      <c r="CM612" s="1192">
        <f t="shared" si="6"/>
        <v>0</v>
      </c>
      <c r="CN612" s="1193"/>
      <c r="CO612" s="1193"/>
      <c r="CP612" s="1193"/>
      <c r="CQ612" s="1195"/>
      <c r="CS612" s="1431">
        <f t="shared" si="11"/>
        <v>0</v>
      </c>
      <c r="CT612" s="1432"/>
      <c r="CU612" s="1432"/>
      <c r="CV612" s="1432"/>
      <c r="CW612" s="1433"/>
      <c r="CX612" s="1431">
        <f t="shared" si="12"/>
        <v>0</v>
      </c>
      <c r="CY612" s="1432"/>
      <c r="CZ612" s="1432"/>
      <c r="DA612" s="1432"/>
      <c r="DB612" s="1433"/>
      <c r="DC612" s="1431">
        <f t="shared" si="13"/>
        <v>0</v>
      </c>
      <c r="DD612" s="1432"/>
      <c r="DE612" s="1432"/>
      <c r="DF612" s="1432"/>
      <c r="DG612" s="1433"/>
      <c r="DH612" s="1431">
        <f t="shared" si="14"/>
        <v>0</v>
      </c>
      <c r="DI612" s="1432"/>
      <c r="DJ612" s="1432"/>
      <c r="DK612" s="1432"/>
      <c r="DL612" s="1433"/>
      <c r="DM612" s="1431">
        <f t="shared" si="15"/>
        <v>0</v>
      </c>
      <c r="DN612" s="1432"/>
      <c r="DO612" s="1432"/>
      <c r="DP612" s="1432"/>
      <c r="DQ612" s="1433"/>
      <c r="DR612" s="1431">
        <f t="shared" si="16"/>
        <v>0</v>
      </c>
      <c r="DS612" s="1432"/>
      <c r="DT612" s="1432"/>
      <c r="DU612" s="1432"/>
      <c r="DV612" s="1433"/>
    </row>
    <row r="613" spans="1:126" ht="13.35" customHeight="1">
      <c r="C613" s="3" t="s">
        <v>1363</v>
      </c>
      <c r="AZ613" s="37"/>
      <c r="BA613" s="37"/>
      <c r="BB613" s="37"/>
      <c r="BC613" s="37"/>
      <c r="BD613" s="37"/>
      <c r="BE613" s="1192">
        <f t="shared" si="9"/>
        <v>0</v>
      </c>
      <c r="BF613" s="1195"/>
      <c r="BG613" s="1192">
        <f t="shared" si="7"/>
        <v>0</v>
      </c>
      <c r="BH613" s="1195"/>
      <c r="BI613" s="1192">
        <f t="shared" si="10"/>
        <v>0</v>
      </c>
      <c r="BJ613" s="1195"/>
      <c r="BK613" s="1192">
        <f t="shared" si="8"/>
        <v>0</v>
      </c>
      <c r="BL613" s="1195"/>
      <c r="BN613" s="1192">
        <f>SUM(BN588:BR612)</f>
        <v>43</v>
      </c>
      <c r="BO613" s="1193"/>
      <c r="BP613" s="1193"/>
      <c r="BQ613" s="1193"/>
      <c r="BR613" s="1195"/>
      <c r="BS613" s="1192">
        <f>SUM(BS588:BW612)</f>
        <v>0</v>
      </c>
      <c r="BT613" s="1193"/>
      <c r="BU613" s="1193"/>
      <c r="BV613" s="1193"/>
      <c r="BW613" s="1195"/>
      <c r="BX613" s="1192">
        <f>SUM(BX588:CB612)</f>
        <v>0</v>
      </c>
      <c r="BY613" s="1193"/>
      <c r="BZ613" s="1193"/>
      <c r="CA613" s="1193"/>
      <c r="CB613" s="1195"/>
      <c r="CC613" s="1192">
        <f>SUM(CC588:CG612)</f>
        <v>0</v>
      </c>
      <c r="CD613" s="1193"/>
      <c r="CE613" s="1193"/>
      <c r="CF613" s="1193"/>
      <c r="CG613" s="1195"/>
      <c r="CH613" s="1192">
        <f>SUM(CH588:CL612)</f>
        <v>0</v>
      </c>
      <c r="CI613" s="1193"/>
      <c r="CJ613" s="1193"/>
      <c r="CK613" s="1193"/>
      <c r="CL613" s="1195"/>
      <c r="CM613" s="1192">
        <f>SUM(CM588:CQ612)</f>
        <v>0</v>
      </c>
      <c r="CN613" s="1193"/>
      <c r="CO613" s="1193"/>
      <c r="CP613" s="1193"/>
      <c r="CQ613" s="1195"/>
      <c r="CS613" s="1431">
        <f t="shared" si="11"/>
        <v>0</v>
      </c>
      <c r="CT613" s="1432"/>
      <c r="CU613" s="1432"/>
      <c r="CV613" s="1432"/>
      <c r="CW613" s="1433"/>
      <c r="CX613" s="1431">
        <f t="shared" si="12"/>
        <v>0</v>
      </c>
      <c r="CY613" s="1432"/>
      <c r="CZ613" s="1432"/>
      <c r="DA613" s="1432"/>
      <c r="DB613" s="1433"/>
      <c r="DC613" s="1431">
        <f t="shared" si="13"/>
        <v>0</v>
      </c>
      <c r="DD613" s="1432"/>
      <c r="DE613" s="1432"/>
      <c r="DF613" s="1432"/>
      <c r="DG613" s="1433"/>
      <c r="DH613" s="1431">
        <f t="shared" si="14"/>
        <v>0</v>
      </c>
      <c r="DI613" s="1432"/>
      <c r="DJ613" s="1432"/>
      <c r="DK613" s="1432"/>
      <c r="DL613" s="1433"/>
      <c r="DM613" s="1431">
        <f t="shared" si="15"/>
        <v>0</v>
      </c>
      <c r="DN613" s="1432"/>
      <c r="DO613" s="1432"/>
      <c r="DP613" s="1432"/>
      <c r="DQ613" s="1433"/>
      <c r="DR613" s="1431">
        <f t="shared" si="16"/>
        <v>0</v>
      </c>
      <c r="DS613" s="1432"/>
      <c r="DT613" s="1432"/>
      <c r="DU613" s="1432"/>
      <c r="DV613" s="1433"/>
    </row>
    <row r="614" spans="1:126" ht="13.35" customHeight="1" thickBot="1">
      <c r="B614" s="747"/>
      <c r="C614" s="3"/>
      <c r="AZ614" s="37"/>
      <c r="BA614" s="37"/>
      <c r="BB614" s="37"/>
      <c r="BC614" s="37"/>
      <c r="BD614" s="37"/>
      <c r="BE614" s="37"/>
      <c r="BF614" s="37"/>
      <c r="BG614" s="1192">
        <f>SUM(BG589:BH613)</f>
        <v>21</v>
      </c>
      <c r="BH614" s="1195"/>
      <c r="BI614" s="37"/>
      <c r="BJ614" s="37"/>
      <c r="BK614" s="1192">
        <f>SUM(BK589:BL613)</f>
        <v>22</v>
      </c>
      <c r="BL614" s="1195"/>
      <c r="BN614" s="37" t="s">
        <v>1411</v>
      </c>
      <c r="BO614" s="37"/>
      <c r="BP614" s="37"/>
      <c r="BQ614" s="37"/>
      <c r="BR614" s="391">
        <f>BN613*1</f>
        <v>43</v>
      </c>
      <c r="BS614" s="37"/>
      <c r="BT614" s="37"/>
      <c r="BU614" s="37"/>
      <c r="BV614" s="37"/>
      <c r="BW614" s="391">
        <f>BS613*1</f>
        <v>0</v>
      </c>
      <c r="BX614" s="37"/>
      <c r="BY614" s="37"/>
      <c r="BZ614" s="37"/>
      <c r="CA614" s="37"/>
      <c r="CB614" s="391">
        <f>BX613*2</f>
        <v>0</v>
      </c>
      <c r="CC614" s="37"/>
      <c r="CD614" s="37"/>
      <c r="CE614" s="37"/>
      <c r="CF614" s="37"/>
      <c r="CG614" s="391">
        <f>CC613*3</f>
        <v>0</v>
      </c>
      <c r="CH614" s="37"/>
      <c r="CI614" s="37"/>
      <c r="CJ614" s="37"/>
      <c r="CK614" s="37"/>
      <c r="CL614" s="391">
        <f>CH613*4</f>
        <v>0</v>
      </c>
      <c r="CM614" s="37"/>
      <c r="CN614" s="37"/>
      <c r="CO614" s="37"/>
      <c r="CP614" s="37"/>
      <c r="CQ614" s="390">
        <f>CM613*5</f>
        <v>0</v>
      </c>
      <c r="CS614" s="1192">
        <f>SUM(CS589:CW613)</f>
        <v>22</v>
      </c>
      <c r="CT614" s="1193"/>
      <c r="CU614" s="1193"/>
      <c r="CV614" s="1193"/>
      <c r="CW614" s="1195"/>
      <c r="CX614" s="1192">
        <f>SUM(CX589:DB613)</f>
        <v>0</v>
      </c>
      <c r="CY614" s="1193"/>
      <c r="CZ614" s="1193"/>
      <c r="DA614" s="1193"/>
      <c r="DB614" s="1195"/>
      <c r="DC614" s="1192">
        <f>SUM(DC589:DG613)</f>
        <v>0</v>
      </c>
      <c r="DD614" s="1193"/>
      <c r="DE614" s="1193"/>
      <c r="DF614" s="1193"/>
      <c r="DG614" s="1195"/>
      <c r="DH614" s="1192">
        <f>SUM(DH589:DL613)</f>
        <v>0</v>
      </c>
      <c r="DI614" s="1193"/>
      <c r="DJ614" s="1193"/>
      <c r="DK614" s="1193"/>
      <c r="DL614" s="1195"/>
      <c r="DM614" s="1192">
        <f>SUM(DM589:DQ613)</f>
        <v>0</v>
      </c>
      <c r="DN614" s="1193"/>
      <c r="DO614" s="1193"/>
      <c r="DP614" s="1193"/>
      <c r="DQ614" s="1195"/>
      <c r="DR614" s="1192">
        <f>SUM(DR589:DV613)</f>
        <v>0</v>
      </c>
      <c r="DS614" s="1193"/>
      <c r="DT614" s="1193"/>
      <c r="DU614" s="1193"/>
      <c r="DV614" s="1195"/>
    </row>
    <row r="615" spans="1:126" ht="13.35" customHeight="1" thickBot="1">
      <c r="B615" s="1053" t="s">
        <v>1364</v>
      </c>
      <c r="C615" s="1054"/>
      <c r="D615" s="1054"/>
      <c r="E615" s="1054"/>
      <c r="F615" s="1054"/>
      <c r="G615" s="1054"/>
      <c r="H615" s="1054"/>
      <c r="I615" s="1054"/>
      <c r="J615" s="1054"/>
      <c r="K615" s="1054"/>
      <c r="L615" s="1054"/>
      <c r="M615" s="1078" t="s">
        <v>1365</v>
      </c>
      <c r="N615" s="1078"/>
      <c r="O615" s="1078"/>
      <c r="P615" s="1078"/>
      <c r="Q615" s="1030" t="s">
        <v>1412</v>
      </c>
      <c r="R615" s="1031"/>
      <c r="S615" s="1032"/>
      <c r="T615" s="1030" t="s">
        <v>1413</v>
      </c>
      <c r="U615" s="1031"/>
      <c r="V615" s="1032"/>
      <c r="W615" s="1060" t="s">
        <v>1368</v>
      </c>
      <c r="X615" s="1060"/>
      <c r="Y615" s="1061"/>
      <c r="Z615" s="1078" t="s">
        <v>1414</v>
      </c>
      <c r="AA615" s="1078"/>
      <c r="AB615" s="1078"/>
      <c r="AC615" s="1021" t="s">
        <v>1370</v>
      </c>
      <c r="AD615" s="1022"/>
      <c r="AE615" s="1023"/>
      <c r="AF615" s="1030" t="s">
        <v>1415</v>
      </c>
      <c r="AG615" s="1031"/>
      <c r="AH615" s="1031"/>
      <c r="AI615" s="1031"/>
      <c r="AJ615" s="1032"/>
      <c r="AK615" s="1079" t="s">
        <v>1416</v>
      </c>
      <c r="AL615" s="1080"/>
      <c r="AM615" s="1080"/>
      <c r="AN615" s="1081"/>
      <c r="AO615" s="1078" t="s">
        <v>1372</v>
      </c>
      <c r="AP615" s="1078"/>
      <c r="AQ615" s="1078"/>
      <c r="AR615" s="1078"/>
      <c r="AS615" s="1078"/>
      <c r="AT615" s="37"/>
      <c r="AU615" s="37"/>
      <c r="AV615" s="37"/>
      <c r="AW615" s="37"/>
      <c r="AX615" s="37"/>
      <c r="AY615" s="37"/>
      <c r="AZ615" s="37"/>
      <c r="BN615" s="37" t="s">
        <v>1417</v>
      </c>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55" t="s">
        <v>1418</v>
      </c>
      <c r="CQ615" s="392">
        <f>BR614+BW614+CB614+CG614+CL614+CQ614</f>
        <v>43</v>
      </c>
      <c r="CR615" s="37"/>
      <c r="CS615" s="37"/>
    </row>
    <row r="616" spans="1:126" ht="13.35" customHeight="1">
      <c r="B616" s="1055"/>
      <c r="C616" s="1056"/>
      <c r="D616" s="1056"/>
      <c r="E616" s="1056"/>
      <c r="F616" s="1056"/>
      <c r="G616" s="1056"/>
      <c r="H616" s="1056"/>
      <c r="I616" s="1056"/>
      <c r="J616" s="1056"/>
      <c r="K616" s="1056"/>
      <c r="L616" s="1056"/>
      <c r="M616" s="1078"/>
      <c r="N616" s="1078"/>
      <c r="O616" s="1078"/>
      <c r="P616" s="1078"/>
      <c r="Q616" s="1033"/>
      <c r="R616" s="1034"/>
      <c r="S616" s="1035"/>
      <c r="T616" s="1033"/>
      <c r="U616" s="1034"/>
      <c r="V616" s="1035"/>
      <c r="W616" s="1062"/>
      <c r="X616" s="1062"/>
      <c r="Y616" s="1063"/>
      <c r="Z616" s="1078"/>
      <c r="AA616" s="1078"/>
      <c r="AB616" s="1078"/>
      <c r="AC616" s="1024"/>
      <c r="AD616" s="1025"/>
      <c r="AE616" s="1026"/>
      <c r="AF616" s="1033"/>
      <c r="AG616" s="1034"/>
      <c r="AH616" s="1034"/>
      <c r="AI616" s="1034"/>
      <c r="AJ616" s="1035"/>
      <c r="AK616" s="1082"/>
      <c r="AL616" s="1083"/>
      <c r="AM616" s="1083"/>
      <c r="AN616" s="1084"/>
      <c r="AO616" s="1078"/>
      <c r="AP616" s="1078"/>
      <c r="AQ616" s="1078"/>
      <c r="AR616" s="1078"/>
      <c r="AS616" s="1078"/>
      <c r="AT616" s="37"/>
      <c r="AU616" s="37"/>
      <c r="AV616" s="37"/>
      <c r="AW616" s="37"/>
      <c r="AX616" s="37"/>
      <c r="AY616" s="37"/>
      <c r="AZ616" s="37"/>
      <c r="BN616" s="1192">
        <f>IF(J738="SRO/Studio",O738,0)</f>
        <v>0</v>
      </c>
      <c r="BO616" s="1193"/>
      <c r="BP616" s="1193"/>
      <c r="BQ616" s="1193"/>
      <c r="BR616" s="1195"/>
      <c r="BS616" s="1192">
        <f>IF(J738="1 Bedroom",O738,0)</f>
        <v>0</v>
      </c>
      <c r="BT616" s="1193"/>
      <c r="BU616" s="1193"/>
      <c r="BV616" s="1193"/>
      <c r="BW616" s="1195"/>
      <c r="BX616" s="1192">
        <f>IF(J738="2 Bedrooms",O738,0)</f>
        <v>1</v>
      </c>
      <c r="BY616" s="1193"/>
      <c r="BZ616" s="1193"/>
      <c r="CA616" s="1193"/>
      <c r="CB616" s="1195"/>
      <c r="CC616" s="1192">
        <f>IF(J738="3 Bedrooms",O738,0)</f>
        <v>0</v>
      </c>
      <c r="CD616" s="1193"/>
      <c r="CE616" s="1193"/>
      <c r="CF616" s="1193"/>
      <c r="CG616" s="1195"/>
      <c r="CH616" s="1192">
        <f>IF(J738="4 Bedrooms",O738,0)</f>
        <v>0</v>
      </c>
      <c r="CI616" s="1193"/>
      <c r="CJ616" s="1193"/>
      <c r="CK616" s="1193"/>
      <c r="CL616" s="1195"/>
      <c r="CM616" s="1434">
        <f>IF(J738="5 Bedrooms",O738,0)</f>
        <v>0</v>
      </c>
      <c r="CN616" s="1435"/>
      <c r="CO616" s="1435"/>
      <c r="CP616" s="1435"/>
      <c r="CQ616" s="1194"/>
      <c r="CR616" s="37"/>
      <c r="CS616" s="37"/>
    </row>
    <row r="617" spans="1:126" ht="13.35" customHeight="1">
      <c r="B617" s="1057"/>
      <c r="C617" s="1058"/>
      <c r="D617" s="1058"/>
      <c r="E617" s="1058"/>
      <c r="F617" s="1058"/>
      <c r="G617" s="1058"/>
      <c r="H617" s="1058"/>
      <c r="I617" s="1058"/>
      <c r="J617" s="1058"/>
      <c r="K617" s="1058"/>
      <c r="L617" s="1058"/>
      <c r="M617" s="1078"/>
      <c r="N617" s="1078"/>
      <c r="O617" s="1078"/>
      <c r="P617" s="1078"/>
      <c r="Q617" s="1036"/>
      <c r="R617" s="1037"/>
      <c r="S617" s="1038"/>
      <c r="T617" s="1036"/>
      <c r="U617" s="1037"/>
      <c r="V617" s="1038"/>
      <c r="W617" s="1064"/>
      <c r="X617" s="1064"/>
      <c r="Y617" s="1065"/>
      <c r="Z617" s="1078"/>
      <c r="AA617" s="1078"/>
      <c r="AB617" s="1078"/>
      <c r="AC617" s="1027"/>
      <c r="AD617" s="1028"/>
      <c r="AE617" s="1029"/>
      <c r="AF617" s="1036"/>
      <c r="AG617" s="1037"/>
      <c r="AH617" s="1037"/>
      <c r="AI617" s="1037"/>
      <c r="AJ617" s="1038"/>
      <c r="AK617" s="1085"/>
      <c r="AL617" s="1086"/>
      <c r="AM617" s="1086"/>
      <c r="AN617" s="1087"/>
      <c r="AO617" s="1078"/>
      <c r="AP617" s="1078"/>
      <c r="AQ617" s="1078"/>
      <c r="AR617" s="1078"/>
      <c r="AS617" s="1078"/>
      <c r="AT617" s="37"/>
      <c r="AU617" s="37"/>
      <c r="AV617" s="37"/>
      <c r="AW617" s="37"/>
      <c r="AX617" s="37"/>
      <c r="AY617" s="37"/>
      <c r="AZ617" s="37"/>
      <c r="BN617" s="1192">
        <f>IF(J739="SRO/Studio",O739,0)</f>
        <v>0</v>
      </c>
      <c r="BO617" s="1193"/>
      <c r="BP617" s="1193"/>
      <c r="BQ617" s="1193"/>
      <c r="BR617" s="1195"/>
      <c r="BS617" s="1192">
        <f>IF(J739="1 Bedroom",O739,0)</f>
        <v>0</v>
      </c>
      <c r="BT617" s="1193"/>
      <c r="BU617" s="1193"/>
      <c r="BV617" s="1193"/>
      <c r="BW617" s="1195"/>
      <c r="BX617" s="1192">
        <f>IF(J739="2 Bedrooms",O739,0)</f>
        <v>0</v>
      </c>
      <c r="BY617" s="1193"/>
      <c r="BZ617" s="1193"/>
      <c r="CA617" s="1193"/>
      <c r="CB617" s="1195"/>
      <c r="CC617" s="1192">
        <f>IF(J739="3 Bedrooms",O739,0)</f>
        <v>0</v>
      </c>
      <c r="CD617" s="1193"/>
      <c r="CE617" s="1193"/>
      <c r="CF617" s="1193"/>
      <c r="CG617" s="1195"/>
      <c r="CH617" s="1192">
        <f>IF(J739="4 Bedrooms",O739,0)</f>
        <v>0</v>
      </c>
      <c r="CI617" s="1193"/>
      <c r="CJ617" s="1193"/>
      <c r="CK617" s="1193"/>
      <c r="CL617" s="1195"/>
      <c r="CM617" s="1434">
        <f>IF(J739="5 Bedrooms",O739,0)</f>
        <v>0</v>
      </c>
      <c r="CN617" s="1435"/>
      <c r="CO617" s="1435"/>
      <c r="CP617" s="1435"/>
      <c r="CQ617" s="1194"/>
      <c r="CR617" s="37"/>
      <c r="CS617" s="37"/>
    </row>
    <row r="618" spans="1:126" ht="13.35" customHeight="1">
      <c r="B618" s="50" t="s">
        <v>14</v>
      </c>
      <c r="C618" s="1043" t="s">
        <v>1373</v>
      </c>
      <c r="D618" s="1043"/>
      <c r="E618" s="1043"/>
      <c r="F618" s="1043"/>
      <c r="G618" s="1043"/>
      <c r="H618" s="1043"/>
      <c r="I618" s="1043"/>
      <c r="J618" s="1043"/>
      <c r="K618" s="1043"/>
      <c r="L618" s="1043"/>
      <c r="M618" s="1066" t="s">
        <v>1348</v>
      </c>
      <c r="N618" s="1066"/>
      <c r="O618" s="1066"/>
      <c r="P618" s="1066"/>
      <c r="Q618" s="1015">
        <f>15*12</f>
        <v>180</v>
      </c>
      <c r="R618" s="1016"/>
      <c r="S618" s="1017"/>
      <c r="T618" s="1012">
        <v>360</v>
      </c>
      <c r="U618" s="1013"/>
      <c r="V618" s="1014"/>
      <c r="W618" s="1039">
        <v>6.25E-2</v>
      </c>
      <c r="X618" s="1040"/>
      <c r="Y618" s="1041"/>
      <c r="Z618" s="1322" t="s">
        <v>1419</v>
      </c>
      <c r="AA618" s="1323"/>
      <c r="AB618" s="1324"/>
      <c r="AC618" s="1009">
        <v>1</v>
      </c>
      <c r="AD618" s="1010"/>
      <c r="AE618" s="1011"/>
      <c r="AF618" s="1018">
        <f>+'15 Year Pro Forma'!E40</f>
        <v>233324</v>
      </c>
      <c r="AG618" s="1019"/>
      <c r="AH618" s="1019"/>
      <c r="AI618" s="1019"/>
      <c r="AJ618" s="1020"/>
      <c r="AK618" s="1075"/>
      <c r="AL618" s="1076"/>
      <c r="AM618" s="1076"/>
      <c r="AN618" s="1077"/>
      <c r="AO618" s="1150">
        <v>3158000</v>
      </c>
      <c r="AP618" s="1150"/>
      <c r="AQ618" s="1150"/>
      <c r="AR618" s="1150"/>
      <c r="AS618" s="1150"/>
      <c r="AT618" s="851" t="str">
        <f t="shared" ref="AT618:AT629" si="17">IF(AND(NOT(C617=""),C618="",NOT(C619="")),"!","")</f>
        <v/>
      </c>
      <c r="AU618" s="37"/>
      <c r="AV618" s="37"/>
      <c r="AW618" s="37"/>
      <c r="AX618" s="37"/>
      <c r="AY618" s="37"/>
      <c r="BA618" s="37" t="s">
        <v>1330</v>
      </c>
      <c r="BC618" s="37"/>
      <c r="BD618" s="37"/>
      <c r="BN618" s="1192">
        <f>IF(J740="SRO/Studio",O740,0)</f>
        <v>0</v>
      </c>
      <c r="BO618" s="1193"/>
      <c r="BP618" s="1193"/>
      <c r="BQ618" s="1193"/>
      <c r="BR618" s="1195"/>
      <c r="BS618" s="1192">
        <f>IF(J740="1 Bedroom",O740,0)</f>
        <v>0</v>
      </c>
      <c r="BT618" s="1193"/>
      <c r="BU618" s="1193"/>
      <c r="BV618" s="1193"/>
      <c r="BW618" s="1195"/>
      <c r="BX618" s="1192">
        <f>IF(J740="2 Bedrooms",O740,0)</f>
        <v>0</v>
      </c>
      <c r="BY618" s="1193"/>
      <c r="BZ618" s="1193"/>
      <c r="CA618" s="1193"/>
      <c r="CB618" s="1195"/>
      <c r="CC618" s="1192">
        <f>IF(J740="3 Bedrooms",O740,0)</f>
        <v>0</v>
      </c>
      <c r="CD618" s="1193"/>
      <c r="CE618" s="1193"/>
      <c r="CF618" s="1193"/>
      <c r="CG618" s="1195"/>
      <c r="CH618" s="1192">
        <f>IF(J740="4 Bedrooms",O740,0)</f>
        <v>0</v>
      </c>
      <c r="CI618" s="1193"/>
      <c r="CJ618" s="1193"/>
      <c r="CK618" s="1193"/>
      <c r="CL618" s="1195"/>
      <c r="CM618" s="1434">
        <f>IF(J740="5 Bedrooms",O740,0)</f>
        <v>0</v>
      </c>
      <c r="CN618" s="1435"/>
      <c r="CO618" s="1435"/>
      <c r="CP618" s="1435"/>
      <c r="CQ618" s="1194"/>
      <c r="CR618" s="37"/>
      <c r="CS618" s="37"/>
    </row>
    <row r="619" spans="1:126" ht="13.35" customHeight="1">
      <c r="B619" s="51" t="s">
        <v>27</v>
      </c>
      <c r="C619" s="1043" t="str">
        <f>+C547</f>
        <v xml:space="preserve">County - LACDA </v>
      </c>
      <c r="D619" s="1043"/>
      <c r="E619" s="1043"/>
      <c r="F619" s="1043"/>
      <c r="G619" s="1043"/>
      <c r="H619" s="1043"/>
      <c r="I619" s="1043"/>
      <c r="J619" s="1043"/>
      <c r="K619" s="1043"/>
      <c r="L619" s="1043"/>
      <c r="M619" s="1066" t="s">
        <v>1343</v>
      </c>
      <c r="N619" s="1066"/>
      <c r="O619" s="1066"/>
      <c r="P619" s="1066"/>
      <c r="Q619" s="1015">
        <f>57*12</f>
        <v>684</v>
      </c>
      <c r="R619" s="1016"/>
      <c r="S619" s="1017"/>
      <c r="T619" s="1012">
        <v>0</v>
      </c>
      <c r="U619" s="1013"/>
      <c r="V619" s="1014"/>
      <c r="W619" s="1039">
        <v>0.03</v>
      </c>
      <c r="X619" s="1040"/>
      <c r="Y619" s="1041"/>
      <c r="Z619" s="1322" t="s">
        <v>1420</v>
      </c>
      <c r="AA619" s="1323"/>
      <c r="AB619" s="1324"/>
      <c r="AC619" s="1009">
        <v>2</v>
      </c>
      <c r="AD619" s="1010"/>
      <c r="AE619" s="1011"/>
      <c r="AF619" s="1018"/>
      <c r="AG619" s="1019"/>
      <c r="AH619" s="1019"/>
      <c r="AI619" s="1019"/>
      <c r="AJ619" s="1020"/>
      <c r="AK619" s="1075"/>
      <c r="AL619" s="1076"/>
      <c r="AM619" s="1076"/>
      <c r="AN619" s="1077"/>
      <c r="AO619" s="1150">
        <f>+AM547</f>
        <v>3080000</v>
      </c>
      <c r="AP619" s="1150"/>
      <c r="AQ619" s="1150"/>
      <c r="AR619" s="1150"/>
      <c r="AS619" s="1150"/>
      <c r="AT619" s="851" t="str">
        <f t="shared" si="17"/>
        <v/>
      </c>
      <c r="AU619" s="37"/>
      <c r="AV619" s="37"/>
      <c r="AW619" s="37"/>
      <c r="AX619" s="37"/>
      <c r="AY619" s="37"/>
      <c r="BA619" s="37" t="s">
        <v>1421</v>
      </c>
      <c r="BC619" s="37"/>
      <c r="BD619" s="37"/>
      <c r="BN619" s="1192">
        <f>IF(J741="SRO/Studio",O741,0)</f>
        <v>0</v>
      </c>
      <c r="BO619" s="1193"/>
      <c r="BP619" s="1193"/>
      <c r="BQ619" s="1193"/>
      <c r="BR619" s="1195"/>
      <c r="BS619" s="1192">
        <f>IF(J741="1 Bedroom",O741,0)</f>
        <v>0</v>
      </c>
      <c r="BT619" s="1193"/>
      <c r="BU619" s="1193"/>
      <c r="BV619" s="1193"/>
      <c r="BW619" s="1195"/>
      <c r="BX619" s="1192">
        <f>IF(J741="2 Bedrooms",O741,0)</f>
        <v>0</v>
      </c>
      <c r="BY619" s="1193"/>
      <c r="BZ619" s="1193"/>
      <c r="CA619" s="1193"/>
      <c r="CB619" s="1195"/>
      <c r="CC619" s="1192">
        <f>IF(J741="3 Bedrooms",O741,0)</f>
        <v>0</v>
      </c>
      <c r="CD619" s="1193"/>
      <c r="CE619" s="1193"/>
      <c r="CF619" s="1193"/>
      <c r="CG619" s="1195"/>
      <c r="CH619" s="1192">
        <f>IF(J741="4 Bedrooms",O741,0)</f>
        <v>0</v>
      </c>
      <c r="CI619" s="1193"/>
      <c r="CJ619" s="1193"/>
      <c r="CK619" s="1193"/>
      <c r="CL619" s="1195"/>
      <c r="CM619" s="1434">
        <f>IF(J741="5 Bedrooms",O741,0)</f>
        <v>0</v>
      </c>
      <c r="CN619" s="1435"/>
      <c r="CO619" s="1435"/>
      <c r="CP619" s="1435"/>
      <c r="CQ619" s="1194"/>
      <c r="CR619" s="37"/>
      <c r="CS619" s="37"/>
    </row>
    <row r="620" spans="1:126" ht="13.35" customHeight="1">
      <c r="B620" s="51" t="s">
        <v>33</v>
      </c>
      <c r="C620" s="1043"/>
      <c r="D620" s="1043"/>
      <c r="E620" s="1043"/>
      <c r="F620" s="1043"/>
      <c r="G620" s="1043"/>
      <c r="H620" s="1043"/>
      <c r="I620" s="1043"/>
      <c r="J620" s="1043"/>
      <c r="K620" s="1043"/>
      <c r="L620" s="1043"/>
      <c r="M620" s="1066" t="s">
        <v>1330</v>
      </c>
      <c r="N620" s="1066"/>
      <c r="O620" s="1066"/>
      <c r="P620" s="1066"/>
      <c r="Q620" s="1015"/>
      <c r="R620" s="1016"/>
      <c r="S620" s="1017"/>
      <c r="T620" s="1012"/>
      <c r="U620" s="1013"/>
      <c r="V620" s="1014"/>
      <c r="W620" s="1039"/>
      <c r="X620" s="1040"/>
      <c r="Y620" s="1041"/>
      <c r="Z620" s="1322" t="s">
        <v>1330</v>
      </c>
      <c r="AA620" s="1323"/>
      <c r="AB620" s="1324"/>
      <c r="AC620" s="1009"/>
      <c r="AD620" s="1010"/>
      <c r="AE620" s="1011"/>
      <c r="AF620" s="1018"/>
      <c r="AG620" s="1019"/>
      <c r="AH620" s="1019"/>
      <c r="AI620" s="1019"/>
      <c r="AJ620" s="1020"/>
      <c r="AK620" s="1075"/>
      <c r="AL620" s="1076"/>
      <c r="AM620" s="1076"/>
      <c r="AN620" s="1077"/>
      <c r="AO620" s="1150"/>
      <c r="AP620" s="1150"/>
      <c r="AQ620" s="1150"/>
      <c r="AR620" s="1150"/>
      <c r="AS620" s="1150"/>
      <c r="AT620" s="851" t="str">
        <f t="shared" si="17"/>
        <v/>
      </c>
      <c r="AU620" s="37"/>
      <c r="AV620" s="37"/>
      <c r="AW620" s="37"/>
      <c r="AX620" s="37"/>
      <c r="AY620" s="37"/>
      <c r="AZ620" s="37"/>
      <c r="BA620" s="37" t="s">
        <v>1420</v>
      </c>
      <c r="BB620" s="37"/>
      <c r="BC620" s="37"/>
      <c r="BD620" s="37"/>
      <c r="BN620" s="1192">
        <f>SUM(BN616:BR619)</f>
        <v>0</v>
      </c>
      <c r="BO620" s="1193"/>
      <c r="BP620" s="1193"/>
      <c r="BQ620" s="1193"/>
      <c r="BR620" s="1195"/>
      <c r="BS620" s="1192">
        <f>SUM(BS616:BW619)</f>
        <v>0</v>
      </c>
      <c r="BT620" s="1193"/>
      <c r="BU620" s="1193"/>
      <c r="BV620" s="1193"/>
      <c r="BW620" s="1195"/>
      <c r="BX620" s="1192">
        <f>SUM(BX616:CB619)</f>
        <v>1</v>
      </c>
      <c r="BY620" s="1193"/>
      <c r="BZ620" s="1193"/>
      <c r="CA620" s="1193"/>
      <c r="CB620" s="1195"/>
      <c r="CC620" s="1192">
        <f>SUM(CC616:CG619)</f>
        <v>0</v>
      </c>
      <c r="CD620" s="1193"/>
      <c r="CE620" s="1193"/>
      <c r="CF620" s="1193"/>
      <c r="CG620" s="1195"/>
      <c r="CH620" s="1192">
        <f>SUM(CH616:CL619)</f>
        <v>0</v>
      </c>
      <c r="CI620" s="1193"/>
      <c r="CJ620" s="1193"/>
      <c r="CK620" s="1193"/>
      <c r="CL620" s="1195"/>
      <c r="CM620" s="1192">
        <f>SUM(CM616:CQ619)</f>
        <v>0</v>
      </c>
      <c r="CN620" s="1193"/>
      <c r="CO620" s="1193"/>
      <c r="CP620" s="1193"/>
      <c r="CQ620" s="1195"/>
      <c r="CS620" s="391">
        <f>BN620+BS620+BX620+CC620+CH620+CM620</f>
        <v>1</v>
      </c>
      <c r="CT620" s="56" t="s">
        <v>1422</v>
      </c>
      <c r="CU620" s="37"/>
    </row>
    <row r="621" spans="1:126" ht="13.35" customHeight="1">
      <c r="B621" s="51" t="s">
        <v>91</v>
      </c>
      <c r="C621" s="1043"/>
      <c r="D621" s="1043"/>
      <c r="E621" s="1043"/>
      <c r="F621" s="1043"/>
      <c r="G621" s="1043"/>
      <c r="H621" s="1043"/>
      <c r="I621" s="1043"/>
      <c r="J621" s="1043"/>
      <c r="K621" s="1043"/>
      <c r="L621" s="1043"/>
      <c r="M621" s="1066" t="s">
        <v>1330</v>
      </c>
      <c r="N621" s="1066"/>
      <c r="O621" s="1066"/>
      <c r="P621" s="1066"/>
      <c r="Q621" s="1015"/>
      <c r="R621" s="1016"/>
      <c r="S621" s="1017"/>
      <c r="T621" s="1012"/>
      <c r="U621" s="1013"/>
      <c r="V621" s="1014"/>
      <c r="W621" s="1039"/>
      <c r="X621" s="1040"/>
      <c r="Y621" s="1041"/>
      <c r="Z621" s="1322" t="s">
        <v>1330</v>
      </c>
      <c r="AA621" s="1323"/>
      <c r="AB621" s="1324"/>
      <c r="AC621" s="1009"/>
      <c r="AD621" s="1010"/>
      <c r="AE621" s="1011"/>
      <c r="AF621" s="1018"/>
      <c r="AG621" s="1019"/>
      <c r="AH621" s="1019"/>
      <c r="AI621" s="1019"/>
      <c r="AJ621" s="1020"/>
      <c r="AK621" s="1075"/>
      <c r="AL621" s="1076"/>
      <c r="AM621" s="1076"/>
      <c r="AN621" s="1077"/>
      <c r="AO621" s="1150"/>
      <c r="AP621" s="1150"/>
      <c r="AQ621" s="1150"/>
      <c r="AR621" s="1150"/>
      <c r="AS621" s="1150"/>
      <c r="AT621" s="851" t="str">
        <f t="shared" si="17"/>
        <v/>
      </c>
      <c r="AU621" s="37"/>
      <c r="AV621" s="37"/>
      <c r="AW621" s="37"/>
      <c r="AX621" s="37"/>
      <c r="AY621" s="37"/>
      <c r="AZ621" s="37"/>
      <c r="BA621" s="37" t="s">
        <v>1419</v>
      </c>
      <c r="BN621" s="37" t="s">
        <v>1423</v>
      </c>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row>
    <row r="622" spans="1:126" ht="13.35" customHeight="1">
      <c r="B622" s="51" t="s">
        <v>95</v>
      </c>
      <c r="C622" s="1043"/>
      <c r="D622" s="1043"/>
      <c r="E622" s="1043"/>
      <c r="F622" s="1043"/>
      <c r="G622" s="1043"/>
      <c r="H622" s="1043"/>
      <c r="I622" s="1043"/>
      <c r="J622" s="1043"/>
      <c r="K622" s="1043"/>
      <c r="L622" s="1043"/>
      <c r="M622" s="1066" t="s">
        <v>1330</v>
      </c>
      <c r="N622" s="1066"/>
      <c r="O622" s="1066"/>
      <c r="P622" s="1066"/>
      <c r="Q622" s="1015"/>
      <c r="R622" s="1016"/>
      <c r="S622" s="1017"/>
      <c r="T622" s="1012"/>
      <c r="U622" s="1013"/>
      <c r="V622" s="1014"/>
      <c r="W622" s="1039"/>
      <c r="X622" s="1040"/>
      <c r="Y622" s="1041"/>
      <c r="Z622" s="1322" t="s">
        <v>1330</v>
      </c>
      <c r="AA622" s="1323"/>
      <c r="AB622" s="1324"/>
      <c r="AC622" s="1009"/>
      <c r="AD622" s="1010"/>
      <c r="AE622" s="1011"/>
      <c r="AF622" s="1018"/>
      <c r="AG622" s="1019"/>
      <c r="AH622" s="1019"/>
      <c r="AI622" s="1019"/>
      <c r="AJ622" s="1020"/>
      <c r="AK622" s="1075"/>
      <c r="AL622" s="1076"/>
      <c r="AM622" s="1076"/>
      <c r="AN622" s="1077"/>
      <c r="AO622" s="1150"/>
      <c r="AP622" s="1150"/>
      <c r="AQ622" s="1150"/>
      <c r="AR622" s="1150"/>
      <c r="AS622" s="1150"/>
      <c r="AT622" s="851" t="str">
        <f t="shared" si="17"/>
        <v/>
      </c>
      <c r="AU622" s="37"/>
      <c r="AV622" s="37"/>
      <c r="AW622" s="37"/>
      <c r="AX622" s="37"/>
      <c r="AY622" s="37"/>
      <c r="AZ622" s="37"/>
      <c r="BA622" s="37" t="s">
        <v>228</v>
      </c>
      <c r="BN622" s="1192">
        <f t="shared" ref="BN622:BN631" si="18">IF(J752="SRO/Studio",O752,0)</f>
        <v>0</v>
      </c>
      <c r="BO622" s="1193"/>
      <c r="BP622" s="1193"/>
      <c r="BQ622" s="1193"/>
      <c r="BR622" s="1195"/>
      <c r="BS622" s="1192">
        <f t="shared" ref="BS622:BS631" si="19">IF(J752="1 Bedroom",O752,0)</f>
        <v>0</v>
      </c>
      <c r="BT622" s="1193"/>
      <c r="BU622" s="1193"/>
      <c r="BV622" s="1193"/>
      <c r="BW622" s="1195"/>
      <c r="BX622" s="1192">
        <f t="shared" ref="BX622:BX631" si="20">IF(J752="2 Bedrooms",O752,0)</f>
        <v>0</v>
      </c>
      <c r="BY622" s="1193"/>
      <c r="BZ622" s="1193"/>
      <c r="CA622" s="1193"/>
      <c r="CB622" s="1195"/>
      <c r="CC622" s="1192">
        <f t="shared" ref="CC622:CC631" si="21">IF(J752="3 Bedrooms",O752,0)</f>
        <v>0</v>
      </c>
      <c r="CD622" s="1193"/>
      <c r="CE622" s="1193"/>
      <c r="CF622" s="1193"/>
      <c r="CG622" s="1195"/>
      <c r="CH622" s="1192">
        <f t="shared" ref="CH622:CH631" si="22">IF(J752="4 Bedrooms",O752,0)</f>
        <v>0</v>
      </c>
      <c r="CI622" s="1193"/>
      <c r="CJ622" s="1193"/>
      <c r="CK622" s="1193"/>
      <c r="CL622" s="1195"/>
      <c r="CM622" s="1192">
        <f t="shared" ref="CM622:CM631" si="23">IF(J752="5 Bedrooms",O752,0)</f>
        <v>0</v>
      </c>
      <c r="CN622" s="1193"/>
      <c r="CO622" s="1193"/>
      <c r="CP622" s="1193"/>
      <c r="CQ622" s="1195"/>
      <c r="CR622" s="37"/>
      <c r="CS622" s="37"/>
    </row>
    <row r="623" spans="1:126" ht="13.35" customHeight="1">
      <c r="B623" s="51" t="s">
        <v>1377</v>
      </c>
      <c r="C623" s="1043"/>
      <c r="D623" s="1043"/>
      <c r="E623" s="1043"/>
      <c r="F623" s="1043"/>
      <c r="G623" s="1043"/>
      <c r="H623" s="1043"/>
      <c r="I623" s="1043"/>
      <c r="J623" s="1043"/>
      <c r="K623" s="1043"/>
      <c r="L623" s="1043"/>
      <c r="M623" s="1066" t="s">
        <v>1330</v>
      </c>
      <c r="N623" s="1066"/>
      <c r="O623" s="1066"/>
      <c r="P623" s="1066"/>
      <c r="Q623" s="1015"/>
      <c r="R623" s="1016"/>
      <c r="S623" s="1017"/>
      <c r="T623" s="1012"/>
      <c r="U623" s="1013"/>
      <c r="V623" s="1014"/>
      <c r="W623" s="1039"/>
      <c r="X623" s="1040"/>
      <c r="Y623" s="1041"/>
      <c r="Z623" s="1322" t="s">
        <v>1330</v>
      </c>
      <c r="AA623" s="1323"/>
      <c r="AB623" s="1324"/>
      <c r="AC623" s="1009"/>
      <c r="AD623" s="1010"/>
      <c r="AE623" s="1011"/>
      <c r="AF623" s="1018"/>
      <c r="AG623" s="1019"/>
      <c r="AH623" s="1019"/>
      <c r="AI623" s="1019"/>
      <c r="AJ623" s="1020"/>
      <c r="AK623" s="1075"/>
      <c r="AL623" s="1076"/>
      <c r="AM623" s="1076"/>
      <c r="AN623" s="1077"/>
      <c r="AO623" s="1150"/>
      <c r="AP623" s="1150"/>
      <c r="AQ623" s="1150"/>
      <c r="AR623" s="1150"/>
      <c r="AS623" s="1150"/>
      <c r="AT623" s="851" t="str">
        <f t="shared" si="17"/>
        <v/>
      </c>
      <c r="AU623" s="37"/>
      <c r="AV623" s="37"/>
      <c r="AW623" s="37"/>
      <c r="AX623" s="37"/>
      <c r="AY623" s="37"/>
      <c r="AZ623" s="37"/>
      <c r="BN623" s="1192">
        <f t="shared" si="18"/>
        <v>0</v>
      </c>
      <c r="BO623" s="1193"/>
      <c r="BP623" s="1193"/>
      <c r="BQ623" s="1193"/>
      <c r="BR623" s="1195"/>
      <c r="BS623" s="1192">
        <f t="shared" si="19"/>
        <v>0</v>
      </c>
      <c r="BT623" s="1193"/>
      <c r="BU623" s="1193"/>
      <c r="BV623" s="1193"/>
      <c r="BW623" s="1195"/>
      <c r="BX623" s="1192">
        <f t="shared" si="20"/>
        <v>0</v>
      </c>
      <c r="BY623" s="1193"/>
      <c r="BZ623" s="1193"/>
      <c r="CA623" s="1193"/>
      <c r="CB623" s="1195"/>
      <c r="CC623" s="1192">
        <f t="shared" si="21"/>
        <v>0</v>
      </c>
      <c r="CD623" s="1193"/>
      <c r="CE623" s="1193"/>
      <c r="CF623" s="1193"/>
      <c r="CG623" s="1195"/>
      <c r="CH623" s="1192">
        <f t="shared" si="22"/>
        <v>0</v>
      </c>
      <c r="CI623" s="1193"/>
      <c r="CJ623" s="1193"/>
      <c r="CK623" s="1193"/>
      <c r="CL623" s="1195"/>
      <c r="CM623" s="1192">
        <f t="shared" si="23"/>
        <v>0</v>
      </c>
      <c r="CN623" s="1193"/>
      <c r="CO623" s="1193"/>
      <c r="CP623" s="1193"/>
      <c r="CQ623" s="1195"/>
      <c r="CR623" s="37"/>
      <c r="CS623" s="37"/>
    </row>
    <row r="624" spans="1:126" ht="13.35" customHeight="1">
      <c r="B624" s="51" t="s">
        <v>1378</v>
      </c>
      <c r="C624" s="1043"/>
      <c r="D624" s="1043"/>
      <c r="E624" s="1043"/>
      <c r="F624" s="1043"/>
      <c r="G624" s="1043"/>
      <c r="H624" s="1043"/>
      <c r="I624" s="1043"/>
      <c r="J624" s="1043"/>
      <c r="K624" s="1043"/>
      <c r="L624" s="1043"/>
      <c r="M624" s="1066" t="s">
        <v>1330</v>
      </c>
      <c r="N624" s="1066"/>
      <c r="O624" s="1066"/>
      <c r="P624" s="1066"/>
      <c r="Q624" s="1015"/>
      <c r="R624" s="1016"/>
      <c r="S624" s="1017"/>
      <c r="T624" s="1012"/>
      <c r="U624" s="1013"/>
      <c r="V624" s="1014"/>
      <c r="W624" s="1039"/>
      <c r="X624" s="1040"/>
      <c r="Y624" s="1041"/>
      <c r="Z624" s="1322" t="s">
        <v>1330</v>
      </c>
      <c r="AA624" s="1323"/>
      <c r="AB624" s="1324"/>
      <c r="AC624" s="1009"/>
      <c r="AD624" s="1010"/>
      <c r="AE624" s="1011"/>
      <c r="AF624" s="1018"/>
      <c r="AG624" s="1019"/>
      <c r="AH624" s="1019"/>
      <c r="AI624" s="1019"/>
      <c r="AJ624" s="1020"/>
      <c r="AK624" s="1075"/>
      <c r="AL624" s="1076"/>
      <c r="AM624" s="1076"/>
      <c r="AN624" s="1077"/>
      <c r="AO624" s="1150"/>
      <c r="AP624" s="1150"/>
      <c r="AQ624" s="1150"/>
      <c r="AR624" s="1150"/>
      <c r="AS624" s="1150"/>
      <c r="AT624" s="851" t="str">
        <f t="shared" si="17"/>
        <v/>
      </c>
      <c r="AU624" s="37"/>
      <c r="AV624" s="37"/>
      <c r="AW624" s="37"/>
      <c r="AX624" s="37"/>
      <c r="AY624" s="37"/>
      <c r="AZ624" s="37"/>
      <c r="BN624" s="1192">
        <f t="shared" si="18"/>
        <v>0</v>
      </c>
      <c r="BO624" s="1193"/>
      <c r="BP624" s="1193"/>
      <c r="BQ624" s="1193"/>
      <c r="BR624" s="1195"/>
      <c r="BS624" s="1192">
        <f t="shared" si="19"/>
        <v>0</v>
      </c>
      <c r="BT624" s="1193"/>
      <c r="BU624" s="1193"/>
      <c r="BV624" s="1193"/>
      <c r="BW624" s="1195"/>
      <c r="BX624" s="1192">
        <f t="shared" si="20"/>
        <v>0</v>
      </c>
      <c r="BY624" s="1193"/>
      <c r="BZ624" s="1193"/>
      <c r="CA624" s="1193"/>
      <c r="CB624" s="1195"/>
      <c r="CC624" s="1192">
        <f t="shared" si="21"/>
        <v>0</v>
      </c>
      <c r="CD624" s="1193"/>
      <c r="CE624" s="1193"/>
      <c r="CF624" s="1193"/>
      <c r="CG624" s="1195"/>
      <c r="CH624" s="1192">
        <f t="shared" si="22"/>
        <v>0</v>
      </c>
      <c r="CI624" s="1193"/>
      <c r="CJ624" s="1193"/>
      <c r="CK624" s="1193"/>
      <c r="CL624" s="1195"/>
      <c r="CM624" s="1192">
        <f t="shared" si="23"/>
        <v>0</v>
      </c>
      <c r="CN624" s="1193"/>
      <c r="CO624" s="1193"/>
      <c r="CP624" s="1193"/>
      <c r="CQ624" s="1195"/>
      <c r="CR624" s="37"/>
      <c r="CS624" s="37"/>
    </row>
    <row r="625" spans="1:97" ht="13.35" customHeight="1">
      <c r="B625" s="51" t="s">
        <v>1379</v>
      </c>
      <c r="C625" s="1043"/>
      <c r="D625" s="1043"/>
      <c r="E625" s="1043"/>
      <c r="F625" s="1043"/>
      <c r="G625" s="1043"/>
      <c r="H625" s="1043"/>
      <c r="I625" s="1043"/>
      <c r="J625" s="1043"/>
      <c r="K625" s="1043"/>
      <c r="L625" s="1043"/>
      <c r="M625" s="1066" t="s">
        <v>1330</v>
      </c>
      <c r="N625" s="1066"/>
      <c r="O625" s="1066"/>
      <c r="P625" s="1066"/>
      <c r="Q625" s="1015"/>
      <c r="R625" s="1016"/>
      <c r="S625" s="1017"/>
      <c r="T625" s="1012"/>
      <c r="U625" s="1013"/>
      <c r="V625" s="1014"/>
      <c r="W625" s="1039"/>
      <c r="X625" s="1040"/>
      <c r="Y625" s="1041"/>
      <c r="Z625" s="1322" t="s">
        <v>1330</v>
      </c>
      <c r="AA625" s="1323"/>
      <c r="AB625" s="1324"/>
      <c r="AC625" s="1009"/>
      <c r="AD625" s="1010"/>
      <c r="AE625" s="1011"/>
      <c r="AF625" s="1018"/>
      <c r="AG625" s="1019"/>
      <c r="AH625" s="1019"/>
      <c r="AI625" s="1019"/>
      <c r="AJ625" s="1020"/>
      <c r="AK625" s="1075"/>
      <c r="AL625" s="1076"/>
      <c r="AM625" s="1076"/>
      <c r="AN625" s="1077"/>
      <c r="AO625" s="1150"/>
      <c r="AP625" s="1150"/>
      <c r="AQ625" s="1150"/>
      <c r="AR625" s="1150"/>
      <c r="AS625" s="1150"/>
      <c r="AT625" s="851" t="str">
        <f t="shared" si="17"/>
        <v/>
      </c>
      <c r="AU625" s="37"/>
      <c r="AV625" s="37"/>
      <c r="AW625" s="37"/>
      <c r="AX625" s="37"/>
      <c r="AY625" s="37"/>
      <c r="AZ625" s="37"/>
      <c r="BN625" s="1192">
        <f t="shared" si="18"/>
        <v>0</v>
      </c>
      <c r="BO625" s="1193"/>
      <c r="BP625" s="1193"/>
      <c r="BQ625" s="1193"/>
      <c r="BR625" s="1195"/>
      <c r="BS625" s="1192">
        <f t="shared" si="19"/>
        <v>0</v>
      </c>
      <c r="BT625" s="1193"/>
      <c r="BU625" s="1193"/>
      <c r="BV625" s="1193"/>
      <c r="BW625" s="1195"/>
      <c r="BX625" s="1192">
        <f t="shared" si="20"/>
        <v>0</v>
      </c>
      <c r="BY625" s="1193"/>
      <c r="BZ625" s="1193"/>
      <c r="CA625" s="1193"/>
      <c r="CB625" s="1195"/>
      <c r="CC625" s="1192">
        <f t="shared" si="21"/>
        <v>0</v>
      </c>
      <c r="CD625" s="1193"/>
      <c r="CE625" s="1193"/>
      <c r="CF625" s="1193"/>
      <c r="CG625" s="1195"/>
      <c r="CH625" s="1192">
        <f t="shared" si="22"/>
        <v>0</v>
      </c>
      <c r="CI625" s="1193"/>
      <c r="CJ625" s="1193"/>
      <c r="CK625" s="1193"/>
      <c r="CL625" s="1195"/>
      <c r="CM625" s="1192">
        <f t="shared" si="23"/>
        <v>0</v>
      </c>
      <c r="CN625" s="1193"/>
      <c r="CO625" s="1193"/>
      <c r="CP625" s="1193"/>
      <c r="CQ625" s="1195"/>
      <c r="CR625" s="37"/>
      <c r="CS625" s="37"/>
    </row>
    <row r="626" spans="1:97" ht="13.35" customHeight="1">
      <c r="B626" s="51" t="s">
        <v>1380</v>
      </c>
      <c r="C626" s="1043"/>
      <c r="D626" s="1043"/>
      <c r="E626" s="1043"/>
      <c r="F626" s="1043"/>
      <c r="G626" s="1043"/>
      <c r="H626" s="1043"/>
      <c r="I626" s="1043"/>
      <c r="J626" s="1043"/>
      <c r="K626" s="1043"/>
      <c r="L626" s="1043"/>
      <c r="M626" s="1066" t="s">
        <v>1330</v>
      </c>
      <c r="N626" s="1066"/>
      <c r="O626" s="1066"/>
      <c r="P626" s="1066"/>
      <c r="Q626" s="1015"/>
      <c r="R626" s="1016"/>
      <c r="S626" s="1017"/>
      <c r="T626" s="1012"/>
      <c r="U626" s="1013"/>
      <c r="V626" s="1014"/>
      <c r="W626" s="1039"/>
      <c r="X626" s="1040"/>
      <c r="Y626" s="1041"/>
      <c r="Z626" s="1322" t="s">
        <v>1330</v>
      </c>
      <c r="AA626" s="1323"/>
      <c r="AB626" s="1324"/>
      <c r="AC626" s="1009"/>
      <c r="AD626" s="1010"/>
      <c r="AE626" s="1011"/>
      <c r="AF626" s="1018"/>
      <c r="AG626" s="1019"/>
      <c r="AH626" s="1019"/>
      <c r="AI626" s="1019"/>
      <c r="AJ626" s="1020"/>
      <c r="AK626" s="1075"/>
      <c r="AL626" s="1076"/>
      <c r="AM626" s="1076"/>
      <c r="AN626" s="1077"/>
      <c r="AO626" s="1150"/>
      <c r="AP626" s="1150"/>
      <c r="AQ626" s="1150"/>
      <c r="AR626" s="1150"/>
      <c r="AS626" s="1150"/>
      <c r="AT626" s="851" t="str">
        <f t="shared" si="17"/>
        <v/>
      </c>
      <c r="AU626" s="37"/>
      <c r="AV626" s="37"/>
      <c r="AW626" s="37"/>
      <c r="AX626" s="37"/>
      <c r="AY626" s="37"/>
      <c r="AZ626" s="37"/>
      <c r="BN626" s="1192">
        <f t="shared" si="18"/>
        <v>0</v>
      </c>
      <c r="BO626" s="1193"/>
      <c r="BP626" s="1193"/>
      <c r="BQ626" s="1193"/>
      <c r="BR626" s="1195"/>
      <c r="BS626" s="1192">
        <f t="shared" si="19"/>
        <v>0</v>
      </c>
      <c r="BT626" s="1193"/>
      <c r="BU626" s="1193"/>
      <c r="BV626" s="1193"/>
      <c r="BW626" s="1195"/>
      <c r="BX626" s="1192">
        <f t="shared" si="20"/>
        <v>0</v>
      </c>
      <c r="BY626" s="1193"/>
      <c r="BZ626" s="1193"/>
      <c r="CA626" s="1193"/>
      <c r="CB626" s="1195"/>
      <c r="CC626" s="1192">
        <f t="shared" si="21"/>
        <v>0</v>
      </c>
      <c r="CD626" s="1193"/>
      <c r="CE626" s="1193"/>
      <c r="CF626" s="1193"/>
      <c r="CG626" s="1195"/>
      <c r="CH626" s="1192">
        <f t="shared" si="22"/>
        <v>0</v>
      </c>
      <c r="CI626" s="1193"/>
      <c r="CJ626" s="1193"/>
      <c r="CK626" s="1193"/>
      <c r="CL626" s="1195"/>
      <c r="CM626" s="1192">
        <f t="shared" si="23"/>
        <v>0</v>
      </c>
      <c r="CN626" s="1193"/>
      <c r="CO626" s="1193"/>
      <c r="CP626" s="1193"/>
      <c r="CQ626" s="1195"/>
      <c r="CR626" s="37"/>
      <c r="CS626" s="37"/>
    </row>
    <row r="627" spans="1:97" ht="13.35" customHeight="1">
      <c r="B627" s="51" t="s">
        <v>1381</v>
      </c>
      <c r="C627" s="1043"/>
      <c r="D627" s="1043"/>
      <c r="E627" s="1043"/>
      <c r="F627" s="1043"/>
      <c r="G627" s="1043"/>
      <c r="H627" s="1043"/>
      <c r="I627" s="1043"/>
      <c r="J627" s="1043"/>
      <c r="K627" s="1043"/>
      <c r="L627" s="1043"/>
      <c r="M627" s="1066" t="s">
        <v>1330</v>
      </c>
      <c r="N627" s="1066"/>
      <c r="O627" s="1066"/>
      <c r="P627" s="1066"/>
      <c r="Q627" s="1015"/>
      <c r="R627" s="1016"/>
      <c r="S627" s="1017"/>
      <c r="T627" s="1012"/>
      <c r="U627" s="1013"/>
      <c r="V627" s="1014"/>
      <c r="W627" s="1039"/>
      <c r="X627" s="1040"/>
      <c r="Y627" s="1041"/>
      <c r="Z627" s="1322" t="s">
        <v>1330</v>
      </c>
      <c r="AA627" s="1323"/>
      <c r="AB627" s="1324"/>
      <c r="AC627" s="1009"/>
      <c r="AD627" s="1010"/>
      <c r="AE627" s="1011"/>
      <c r="AF627" s="1018"/>
      <c r="AG627" s="1019"/>
      <c r="AH627" s="1019"/>
      <c r="AI627" s="1019"/>
      <c r="AJ627" s="1020"/>
      <c r="AK627" s="1075"/>
      <c r="AL627" s="1076"/>
      <c r="AM627" s="1076"/>
      <c r="AN627" s="1077"/>
      <c r="AO627" s="1150"/>
      <c r="AP627" s="1150"/>
      <c r="AQ627" s="1150"/>
      <c r="AR627" s="1150"/>
      <c r="AS627" s="1150"/>
      <c r="AT627" s="851" t="str">
        <f t="shared" si="17"/>
        <v/>
      </c>
      <c r="AU627" s="37"/>
      <c r="AV627" s="37"/>
      <c r="AW627" s="37"/>
      <c r="AX627" s="37"/>
      <c r="AY627" s="37"/>
      <c r="AZ627" s="37"/>
      <c r="BN627" s="1192">
        <f t="shared" si="18"/>
        <v>0</v>
      </c>
      <c r="BO627" s="1193"/>
      <c r="BP627" s="1193"/>
      <c r="BQ627" s="1193"/>
      <c r="BR627" s="1195"/>
      <c r="BS627" s="1192">
        <f t="shared" si="19"/>
        <v>0</v>
      </c>
      <c r="BT627" s="1193"/>
      <c r="BU627" s="1193"/>
      <c r="BV627" s="1193"/>
      <c r="BW627" s="1195"/>
      <c r="BX627" s="1192">
        <f t="shared" si="20"/>
        <v>0</v>
      </c>
      <c r="BY627" s="1193"/>
      <c r="BZ627" s="1193"/>
      <c r="CA627" s="1193"/>
      <c r="CB627" s="1195"/>
      <c r="CC627" s="1192">
        <f t="shared" si="21"/>
        <v>0</v>
      </c>
      <c r="CD627" s="1193"/>
      <c r="CE627" s="1193"/>
      <c r="CF627" s="1193"/>
      <c r="CG627" s="1195"/>
      <c r="CH627" s="1192">
        <f t="shared" si="22"/>
        <v>0</v>
      </c>
      <c r="CI627" s="1193"/>
      <c r="CJ627" s="1193"/>
      <c r="CK627" s="1193"/>
      <c r="CL627" s="1195"/>
      <c r="CM627" s="1192">
        <f t="shared" si="23"/>
        <v>0</v>
      </c>
      <c r="CN627" s="1193"/>
      <c r="CO627" s="1193"/>
      <c r="CP627" s="1193"/>
      <c r="CQ627" s="1195"/>
      <c r="CR627" s="37"/>
      <c r="CS627" s="37"/>
    </row>
    <row r="628" spans="1:97" ht="13.35" customHeight="1">
      <c r="B628" s="51" t="s">
        <v>1382</v>
      </c>
      <c r="C628" s="1043"/>
      <c r="D628" s="1043"/>
      <c r="E628" s="1043"/>
      <c r="F628" s="1043"/>
      <c r="G628" s="1043"/>
      <c r="H628" s="1043"/>
      <c r="I628" s="1043"/>
      <c r="J628" s="1043"/>
      <c r="K628" s="1043"/>
      <c r="L628" s="1043"/>
      <c r="M628" s="1066" t="s">
        <v>1330</v>
      </c>
      <c r="N628" s="1066"/>
      <c r="O628" s="1066"/>
      <c r="P628" s="1066"/>
      <c r="Q628" s="1015"/>
      <c r="R628" s="1016"/>
      <c r="S628" s="1017"/>
      <c r="T628" s="1012"/>
      <c r="U628" s="1013"/>
      <c r="V628" s="1014"/>
      <c r="W628" s="1039"/>
      <c r="X628" s="1040"/>
      <c r="Y628" s="1041"/>
      <c r="Z628" s="1322" t="s">
        <v>1330</v>
      </c>
      <c r="AA628" s="1323"/>
      <c r="AB628" s="1324"/>
      <c r="AC628" s="1009"/>
      <c r="AD628" s="1010"/>
      <c r="AE628" s="1011"/>
      <c r="AF628" s="1018"/>
      <c r="AG628" s="1019"/>
      <c r="AH628" s="1019"/>
      <c r="AI628" s="1019"/>
      <c r="AJ628" s="1020"/>
      <c r="AK628" s="1075"/>
      <c r="AL628" s="1076"/>
      <c r="AM628" s="1076"/>
      <c r="AN628" s="1077"/>
      <c r="AO628" s="1150"/>
      <c r="AP628" s="1150"/>
      <c r="AQ628" s="1150"/>
      <c r="AR628" s="1150"/>
      <c r="AS628" s="1150"/>
      <c r="AT628" s="851" t="str">
        <f t="shared" si="17"/>
        <v/>
      </c>
      <c r="AU628" s="37"/>
      <c r="AV628" s="37"/>
      <c r="AW628" s="37"/>
      <c r="AX628" s="37"/>
      <c r="AY628" s="37"/>
      <c r="AZ628" s="37"/>
      <c r="BN628" s="1192">
        <f t="shared" si="18"/>
        <v>0</v>
      </c>
      <c r="BO628" s="1193"/>
      <c r="BP628" s="1193"/>
      <c r="BQ628" s="1193"/>
      <c r="BR628" s="1195"/>
      <c r="BS628" s="1192">
        <f t="shared" si="19"/>
        <v>0</v>
      </c>
      <c r="BT628" s="1193"/>
      <c r="BU628" s="1193"/>
      <c r="BV628" s="1193"/>
      <c r="BW628" s="1195"/>
      <c r="BX628" s="1192">
        <f t="shared" si="20"/>
        <v>0</v>
      </c>
      <c r="BY628" s="1193"/>
      <c r="BZ628" s="1193"/>
      <c r="CA628" s="1193"/>
      <c r="CB628" s="1195"/>
      <c r="CC628" s="1192">
        <f t="shared" si="21"/>
        <v>0</v>
      </c>
      <c r="CD628" s="1193"/>
      <c r="CE628" s="1193"/>
      <c r="CF628" s="1193"/>
      <c r="CG628" s="1195"/>
      <c r="CH628" s="1192">
        <f t="shared" si="22"/>
        <v>0</v>
      </c>
      <c r="CI628" s="1193"/>
      <c r="CJ628" s="1193"/>
      <c r="CK628" s="1193"/>
      <c r="CL628" s="1195"/>
      <c r="CM628" s="1192">
        <f t="shared" si="23"/>
        <v>0</v>
      </c>
      <c r="CN628" s="1193"/>
      <c r="CO628" s="1193"/>
      <c r="CP628" s="1193"/>
      <c r="CQ628" s="1195"/>
      <c r="CR628" s="37"/>
      <c r="CS628" s="37"/>
    </row>
    <row r="629" spans="1:97" ht="13.35" customHeight="1">
      <c r="B629" s="51" t="s">
        <v>1383</v>
      </c>
      <c r="C629" s="1043"/>
      <c r="D629" s="1043"/>
      <c r="E629" s="1043"/>
      <c r="F629" s="1043"/>
      <c r="G629" s="1043"/>
      <c r="H629" s="1043"/>
      <c r="I629" s="1043"/>
      <c r="J629" s="1043"/>
      <c r="K629" s="1043"/>
      <c r="L629" s="1043"/>
      <c r="M629" s="1066" t="s">
        <v>1330</v>
      </c>
      <c r="N629" s="1066"/>
      <c r="O629" s="1066"/>
      <c r="P629" s="1066"/>
      <c r="Q629" s="1015"/>
      <c r="R629" s="1016"/>
      <c r="S629" s="1017"/>
      <c r="T629" s="1012"/>
      <c r="U629" s="1013"/>
      <c r="V629" s="1014"/>
      <c r="W629" s="1039"/>
      <c r="X629" s="1040"/>
      <c r="Y629" s="1041"/>
      <c r="Z629" s="1322" t="s">
        <v>1330</v>
      </c>
      <c r="AA629" s="1323"/>
      <c r="AB629" s="1324"/>
      <c r="AC629" s="1009"/>
      <c r="AD629" s="1010"/>
      <c r="AE629" s="1011"/>
      <c r="AF629" s="1018"/>
      <c r="AG629" s="1019"/>
      <c r="AH629" s="1019"/>
      <c r="AI629" s="1019"/>
      <c r="AJ629" s="1020"/>
      <c r="AK629" s="1075"/>
      <c r="AL629" s="1076"/>
      <c r="AM629" s="1076"/>
      <c r="AN629" s="1077"/>
      <c r="AO629" s="1150"/>
      <c r="AP629" s="1150"/>
      <c r="AQ629" s="1150"/>
      <c r="AR629" s="1150"/>
      <c r="AS629" s="1150"/>
      <c r="AT629" s="851" t="str">
        <f t="shared" si="17"/>
        <v/>
      </c>
      <c r="AU629" s="37"/>
      <c r="AV629" s="37"/>
      <c r="AW629" s="37"/>
      <c r="AX629" s="37"/>
      <c r="AY629" s="37"/>
      <c r="AZ629" s="37"/>
      <c r="BN629" s="1192">
        <f t="shared" si="18"/>
        <v>0</v>
      </c>
      <c r="BO629" s="1193"/>
      <c r="BP629" s="1193"/>
      <c r="BQ629" s="1193"/>
      <c r="BR629" s="1195"/>
      <c r="BS629" s="1192">
        <f t="shared" si="19"/>
        <v>0</v>
      </c>
      <c r="BT629" s="1193"/>
      <c r="BU629" s="1193"/>
      <c r="BV629" s="1193"/>
      <c r="BW629" s="1195"/>
      <c r="BX629" s="1192">
        <f t="shared" si="20"/>
        <v>0</v>
      </c>
      <c r="BY629" s="1193"/>
      <c r="BZ629" s="1193"/>
      <c r="CA629" s="1193"/>
      <c r="CB629" s="1195"/>
      <c r="CC629" s="1192">
        <f t="shared" si="21"/>
        <v>0</v>
      </c>
      <c r="CD629" s="1193"/>
      <c r="CE629" s="1193"/>
      <c r="CF629" s="1193"/>
      <c r="CG629" s="1195"/>
      <c r="CH629" s="1192">
        <f t="shared" si="22"/>
        <v>0</v>
      </c>
      <c r="CI629" s="1193"/>
      <c r="CJ629" s="1193"/>
      <c r="CK629" s="1193"/>
      <c r="CL629" s="1195"/>
      <c r="CM629" s="1192">
        <f t="shared" si="23"/>
        <v>0</v>
      </c>
      <c r="CN629" s="1193"/>
      <c r="CO629" s="1193"/>
      <c r="CP629" s="1193"/>
      <c r="CQ629" s="1195"/>
      <c r="CR629" s="37"/>
      <c r="CS629" s="37"/>
    </row>
    <row r="630" spans="1:97" ht="13.35" customHeight="1">
      <c r="B630" s="1049" t="s">
        <v>1424</v>
      </c>
      <c r="C630" s="1050"/>
      <c r="D630" s="1050"/>
      <c r="E630" s="1050"/>
      <c r="F630" s="1050"/>
      <c r="G630" s="1050"/>
      <c r="H630" s="1050"/>
      <c r="I630" s="1050"/>
      <c r="J630" s="1050"/>
      <c r="K630" s="1050"/>
      <c r="L630" s="1050"/>
      <c r="M630" s="1050"/>
      <c r="N630" s="1050"/>
      <c r="O630" s="1050"/>
      <c r="P630" s="1050"/>
      <c r="Q630" s="1050"/>
      <c r="R630" s="1050"/>
      <c r="S630" s="1050"/>
      <c r="T630" s="1050"/>
      <c r="U630" s="1050"/>
      <c r="V630" s="1050"/>
      <c r="W630" s="1050"/>
      <c r="X630" s="1050"/>
      <c r="Y630" s="1050"/>
      <c r="Z630" s="1050"/>
      <c r="AA630" s="1050"/>
      <c r="AB630" s="1050"/>
      <c r="AC630" s="1050"/>
      <c r="AD630" s="1050"/>
      <c r="AE630" s="1050"/>
      <c r="AF630" s="1050"/>
      <c r="AG630" s="1050"/>
      <c r="AH630" s="1050"/>
      <c r="AI630" s="1050"/>
      <c r="AJ630" s="1050"/>
      <c r="AK630" s="1050"/>
      <c r="AL630" s="1050"/>
      <c r="AM630" s="1050"/>
      <c r="AN630" s="1052"/>
      <c r="AO630" s="1106">
        <f>SUM(AO618:AS629)</f>
        <v>6238000</v>
      </c>
      <c r="AP630" s="1107"/>
      <c r="AQ630" s="1107"/>
      <c r="AR630" s="1107"/>
      <c r="AS630" s="1108"/>
      <c r="AT630" s="37"/>
      <c r="AU630" s="37"/>
      <c r="AV630" s="37"/>
      <c r="AW630" s="37"/>
      <c r="AX630" s="37"/>
      <c r="AY630" s="37"/>
      <c r="AZ630" s="37"/>
      <c r="BN630" s="1192">
        <f t="shared" si="18"/>
        <v>0</v>
      </c>
      <c r="BO630" s="1193"/>
      <c r="BP630" s="1193"/>
      <c r="BQ630" s="1193"/>
      <c r="BR630" s="1195"/>
      <c r="BS630" s="1192">
        <f t="shared" si="19"/>
        <v>0</v>
      </c>
      <c r="BT630" s="1193"/>
      <c r="BU630" s="1193"/>
      <c r="BV630" s="1193"/>
      <c r="BW630" s="1195"/>
      <c r="BX630" s="1192">
        <f t="shared" si="20"/>
        <v>0</v>
      </c>
      <c r="BY630" s="1193"/>
      <c r="BZ630" s="1193"/>
      <c r="CA630" s="1193"/>
      <c r="CB630" s="1195"/>
      <c r="CC630" s="1192">
        <f t="shared" si="21"/>
        <v>0</v>
      </c>
      <c r="CD630" s="1193"/>
      <c r="CE630" s="1193"/>
      <c r="CF630" s="1193"/>
      <c r="CG630" s="1195"/>
      <c r="CH630" s="1192">
        <f t="shared" si="22"/>
        <v>0</v>
      </c>
      <c r="CI630" s="1193"/>
      <c r="CJ630" s="1193"/>
      <c r="CK630" s="1193"/>
      <c r="CL630" s="1195"/>
      <c r="CM630" s="1192">
        <f t="shared" si="23"/>
        <v>0</v>
      </c>
      <c r="CN630" s="1193"/>
      <c r="CO630" s="1193"/>
      <c r="CP630" s="1193"/>
      <c r="CQ630" s="1195"/>
      <c r="CR630" s="37"/>
      <c r="CS630" s="37"/>
    </row>
    <row r="631" spans="1:97" ht="13.35" customHeight="1">
      <c r="B631" s="1049" t="s">
        <v>1425</v>
      </c>
      <c r="C631" s="1050"/>
      <c r="D631" s="1050"/>
      <c r="E631" s="1050"/>
      <c r="F631" s="1050"/>
      <c r="G631" s="1050"/>
      <c r="H631" s="1050"/>
      <c r="I631" s="1050"/>
      <c r="J631" s="1050"/>
      <c r="K631" s="1050"/>
      <c r="L631" s="1050"/>
      <c r="M631" s="1050"/>
      <c r="N631" s="1050"/>
      <c r="O631" s="1050"/>
      <c r="P631" s="1050"/>
      <c r="Q631" s="1050"/>
      <c r="R631" s="1050"/>
      <c r="S631" s="1050"/>
      <c r="T631" s="1050"/>
      <c r="U631" s="1050"/>
      <c r="V631" s="1050"/>
      <c r="W631" s="1050"/>
      <c r="X631" s="1050"/>
      <c r="Y631" s="1050"/>
      <c r="Z631" s="1050"/>
      <c r="AA631" s="1050"/>
      <c r="AB631" s="1050"/>
      <c r="AC631" s="1050"/>
      <c r="AD631" s="1050"/>
      <c r="AE631" s="1050"/>
      <c r="AF631" s="1050"/>
      <c r="AG631" s="1050"/>
      <c r="AH631" s="1050"/>
      <c r="AI631" s="1050"/>
      <c r="AJ631" s="1050"/>
      <c r="AK631" s="1050"/>
      <c r="AL631" s="1050"/>
      <c r="AM631" s="1050"/>
      <c r="AN631" s="1052"/>
      <c r="AO631" s="1100">
        <v>16291000</v>
      </c>
      <c r="AP631" s="1101"/>
      <c r="AQ631" s="1101"/>
      <c r="AR631" s="1101"/>
      <c r="AS631" s="1102"/>
      <c r="AT631" s="37"/>
      <c r="AU631" s="37"/>
      <c r="AV631" s="37"/>
      <c r="AW631" s="37"/>
      <c r="AX631" s="37"/>
      <c r="AY631" s="37"/>
      <c r="AZ631" s="37"/>
      <c r="BN631" s="1192">
        <f t="shared" si="18"/>
        <v>0</v>
      </c>
      <c r="BO631" s="1193"/>
      <c r="BP631" s="1193"/>
      <c r="BQ631" s="1193"/>
      <c r="BR631" s="1195"/>
      <c r="BS631" s="1192">
        <f t="shared" si="19"/>
        <v>0</v>
      </c>
      <c r="BT631" s="1193"/>
      <c r="BU631" s="1193"/>
      <c r="BV631" s="1193"/>
      <c r="BW631" s="1195"/>
      <c r="BX631" s="1192">
        <f t="shared" si="20"/>
        <v>0</v>
      </c>
      <c r="BY631" s="1193"/>
      <c r="BZ631" s="1193"/>
      <c r="CA631" s="1193"/>
      <c r="CB631" s="1195"/>
      <c r="CC631" s="1192">
        <f t="shared" si="21"/>
        <v>0</v>
      </c>
      <c r="CD631" s="1193"/>
      <c r="CE631" s="1193"/>
      <c r="CF631" s="1193"/>
      <c r="CG631" s="1195"/>
      <c r="CH631" s="1192">
        <f t="shared" si="22"/>
        <v>0</v>
      </c>
      <c r="CI631" s="1193"/>
      <c r="CJ631" s="1193"/>
      <c r="CK631" s="1193"/>
      <c r="CL631" s="1195"/>
      <c r="CM631" s="1192">
        <f t="shared" si="23"/>
        <v>0</v>
      </c>
      <c r="CN631" s="1193"/>
      <c r="CO631" s="1193"/>
      <c r="CP631" s="1193"/>
      <c r="CQ631" s="1195"/>
      <c r="CR631" s="37"/>
      <c r="CS631" s="37"/>
    </row>
    <row r="632" spans="1:97" ht="13.35" customHeight="1">
      <c r="B632" s="1320" t="s">
        <v>1426</v>
      </c>
      <c r="C632" s="1051"/>
      <c r="D632" s="1051"/>
      <c r="E632" s="1051"/>
      <c r="F632" s="1051"/>
      <c r="G632" s="1051"/>
      <c r="H632" s="1051"/>
      <c r="I632" s="1051"/>
      <c r="J632" s="1051"/>
      <c r="K632" s="1051"/>
      <c r="L632" s="1051"/>
      <c r="M632" s="1051"/>
      <c r="N632" s="1051"/>
      <c r="O632" s="1051"/>
      <c r="P632" s="1051"/>
      <c r="Q632" s="1051"/>
      <c r="R632" s="1051"/>
      <c r="S632" s="1051"/>
      <c r="T632" s="1051"/>
      <c r="U632" s="1051"/>
      <c r="V632" s="1051"/>
      <c r="W632" s="1051"/>
      <c r="X632" s="1051"/>
      <c r="Y632" s="1051"/>
      <c r="Z632" s="1051"/>
      <c r="AA632" s="1051"/>
      <c r="AB632" s="1051"/>
      <c r="AC632" s="1051"/>
      <c r="AD632" s="1051"/>
      <c r="AE632" s="1051"/>
      <c r="AF632" s="1051"/>
      <c r="AG632" s="1051"/>
      <c r="AH632" s="1051"/>
      <c r="AI632" s="1051"/>
      <c r="AJ632" s="1051"/>
      <c r="AK632" s="1051"/>
      <c r="AL632" s="1051"/>
      <c r="AM632" s="1051"/>
      <c r="AN632" s="1321"/>
      <c r="AO632" s="1106">
        <f>AO630+AO631</f>
        <v>22529000</v>
      </c>
      <c r="AP632" s="1107"/>
      <c r="AQ632" s="1107"/>
      <c r="AR632" s="1107"/>
      <c r="AS632" s="1108"/>
      <c r="AT632" s="37"/>
      <c r="AU632" s="37"/>
      <c r="AV632" s="37"/>
      <c r="AW632" s="37"/>
      <c r="AX632" s="37"/>
      <c r="AY632" s="37"/>
      <c r="AZ632" s="37"/>
      <c r="BN632" s="1192">
        <f>SUM(BN622:BR631)</f>
        <v>0</v>
      </c>
      <c r="BO632" s="1193"/>
      <c r="BP632" s="1193"/>
      <c r="BQ632" s="1193"/>
      <c r="BR632" s="1195"/>
      <c r="BS632" s="1192">
        <f>SUM(BS622:BW631)</f>
        <v>0</v>
      </c>
      <c r="BT632" s="1193"/>
      <c r="BU632" s="1193"/>
      <c r="BV632" s="1193"/>
      <c r="BW632" s="1195"/>
      <c r="BX632" s="1192">
        <f>SUM(BX622:CB631)</f>
        <v>0</v>
      </c>
      <c r="BY632" s="1193"/>
      <c r="BZ632" s="1193"/>
      <c r="CA632" s="1193"/>
      <c r="CB632" s="1195"/>
      <c r="CC632" s="1192">
        <f>SUM(CC622:CG631)</f>
        <v>0</v>
      </c>
      <c r="CD632" s="1193"/>
      <c r="CE632" s="1193"/>
      <c r="CF632" s="1193"/>
      <c r="CG632" s="1195"/>
      <c r="CH632" s="1192">
        <f>SUM(CH622:CL631)</f>
        <v>0</v>
      </c>
      <c r="CI632" s="1193"/>
      <c r="CJ632" s="1193"/>
      <c r="CK632" s="1193"/>
      <c r="CL632" s="1195"/>
      <c r="CM632" s="1192">
        <f>SUM(CM622:CQ631)</f>
        <v>0</v>
      </c>
      <c r="CN632" s="1193"/>
      <c r="CO632" s="1193"/>
      <c r="CP632" s="1193"/>
      <c r="CQ632" s="1195"/>
      <c r="CR632" s="37"/>
      <c r="CS632" s="37"/>
    </row>
    <row r="633" spans="1:97" ht="13.35" customHeight="1" thickBot="1">
      <c r="A633" s="4"/>
      <c r="K633" s="55"/>
      <c r="L633" s="31"/>
      <c r="M633" s="31"/>
      <c r="N633" s="31"/>
      <c r="O633" s="31"/>
      <c r="P633" s="31"/>
      <c r="Q633" s="31"/>
      <c r="R633" s="31"/>
      <c r="AC633" s="55"/>
      <c r="AD633" s="31"/>
      <c r="AE633" s="31"/>
      <c r="AF633" s="31"/>
      <c r="AG633" s="31"/>
      <c r="AH633" s="31"/>
      <c r="AI633" s="31"/>
      <c r="AJ633" s="31"/>
      <c r="AM633" s="37"/>
      <c r="AN633" s="37"/>
      <c r="AO633" s="37"/>
      <c r="AP633" s="37"/>
      <c r="AQ633" s="37"/>
      <c r="AR633" s="37"/>
      <c r="AS633" s="37"/>
      <c r="AT633" s="37"/>
      <c r="AU633" s="37"/>
      <c r="AV633" s="37"/>
      <c r="AW633" s="37"/>
      <c r="AX633" s="37"/>
      <c r="AY633" s="37"/>
      <c r="AZ633" s="37"/>
      <c r="BN633" s="37" t="s">
        <v>1427</v>
      </c>
      <c r="BO633" s="37"/>
      <c r="BP633" s="37"/>
      <c r="BQ633" s="37"/>
      <c r="BR633" s="391">
        <f>BN632*1</f>
        <v>0</v>
      </c>
      <c r="BS633" s="37"/>
      <c r="BT633" s="37"/>
      <c r="BU633" s="37"/>
      <c r="BV633" s="37"/>
      <c r="BW633" s="391">
        <f>BS632*1</f>
        <v>0</v>
      </c>
      <c r="BX633" s="37"/>
      <c r="BY633" s="37"/>
      <c r="BZ633" s="37"/>
      <c r="CA633" s="37"/>
      <c r="CB633" s="391">
        <f>BX632*2</f>
        <v>0</v>
      </c>
      <c r="CC633" s="37"/>
      <c r="CD633" s="37"/>
      <c r="CE633" s="37"/>
      <c r="CF633" s="37"/>
      <c r="CG633" s="391">
        <f>CC632*3</f>
        <v>0</v>
      </c>
      <c r="CH633" s="37"/>
      <c r="CI633" s="37"/>
      <c r="CJ633" s="37"/>
      <c r="CK633" s="37"/>
      <c r="CL633" s="391">
        <f>CH632*4</f>
        <v>0</v>
      </c>
      <c r="CM633" s="37"/>
      <c r="CN633" s="37"/>
      <c r="CO633" s="37"/>
      <c r="CP633" s="37"/>
      <c r="CQ633" s="390">
        <f>CM632*5</f>
        <v>0</v>
      </c>
      <c r="CR633" s="37"/>
      <c r="CS633" s="37"/>
    </row>
    <row r="634" spans="1:97" ht="13.35" customHeight="1" thickBot="1">
      <c r="A634" s="54" t="s">
        <v>14</v>
      </c>
      <c r="B634" t="s">
        <v>1385</v>
      </c>
      <c r="G634" s="1236" t="str">
        <f>C618</f>
        <v>Cal Bank &amp; Trust</v>
      </c>
      <c r="H634" s="1236"/>
      <c r="I634" s="1236"/>
      <c r="J634" s="1236"/>
      <c r="K634" s="1236"/>
      <c r="L634" s="1236"/>
      <c r="M634" s="1236"/>
      <c r="N634" s="1236"/>
      <c r="O634" s="1236"/>
      <c r="P634" s="1236"/>
      <c r="Q634" s="1236"/>
      <c r="R634" s="1236"/>
      <c r="S634" s="12"/>
      <c r="T634" s="54" t="s">
        <v>27</v>
      </c>
      <c r="U634" t="s">
        <v>1385</v>
      </c>
      <c r="Z634" s="1236" t="str">
        <f>C619</f>
        <v xml:space="preserve">County - LACDA </v>
      </c>
      <c r="AA634" s="1236"/>
      <c r="AB634" s="1236"/>
      <c r="AC634" s="1236"/>
      <c r="AD634" s="1236"/>
      <c r="AE634" s="1236"/>
      <c r="AF634" s="1236"/>
      <c r="AG634" s="1236"/>
      <c r="AH634" s="1236"/>
      <c r="AI634" s="1236"/>
      <c r="AJ634" s="1236"/>
      <c r="AK634" s="1236"/>
      <c r="AM634" s="37"/>
      <c r="AN634" s="37"/>
      <c r="AO634" s="37"/>
      <c r="AP634" s="37"/>
      <c r="AQ634" s="37"/>
      <c r="AR634" s="37"/>
      <c r="AS634" s="37"/>
      <c r="AT634" s="37"/>
      <c r="AU634" s="37"/>
      <c r="AV634" s="37"/>
      <c r="AW634" s="37"/>
      <c r="AX634" s="37"/>
      <c r="AY634" s="37"/>
      <c r="AZ634" s="37"/>
      <c r="CP634" s="55" t="s">
        <v>1428</v>
      </c>
      <c r="CQ634" s="392">
        <f>BN632+BS632+BX632+CC632+CH632+CM632</f>
        <v>0</v>
      </c>
      <c r="CR634" s="37"/>
      <c r="CS634" s="37"/>
    </row>
    <row r="635" spans="1:97" ht="13.35" customHeight="1" thickBot="1">
      <c r="A635" s="4"/>
      <c r="B635" t="s">
        <v>1045</v>
      </c>
      <c r="G635" s="1044" t="s">
        <v>1386</v>
      </c>
      <c r="H635" s="1044"/>
      <c r="I635" s="1044"/>
      <c r="J635" s="1044"/>
      <c r="K635" s="1044"/>
      <c r="L635" s="1044"/>
      <c r="M635" s="1044"/>
      <c r="N635" s="1044"/>
      <c r="O635" s="1044"/>
      <c r="P635" s="1044"/>
      <c r="Q635" s="1044"/>
      <c r="R635" s="1044"/>
      <c r="S635" s="12"/>
      <c r="T635" s="4"/>
      <c r="U635" t="s">
        <v>1045</v>
      </c>
      <c r="Z635" s="1044" t="s">
        <v>1387</v>
      </c>
      <c r="AA635" s="1044"/>
      <c r="AB635" s="1044"/>
      <c r="AC635" s="1044"/>
      <c r="AD635" s="1044"/>
      <c r="AE635" s="1044"/>
      <c r="AF635" s="1044"/>
      <c r="AG635" s="1044"/>
      <c r="AH635" s="1044"/>
      <c r="AI635" s="1044"/>
      <c r="AJ635" s="1044"/>
      <c r="AK635" s="1044"/>
      <c r="AM635" s="37"/>
      <c r="AN635" s="37"/>
      <c r="AO635" s="37"/>
      <c r="AP635" s="37"/>
      <c r="AQ635" s="37"/>
      <c r="AR635" s="37"/>
      <c r="AS635" s="37"/>
      <c r="AT635" s="37"/>
      <c r="AU635" s="37"/>
      <c r="AV635" s="37"/>
      <c r="AW635" s="37"/>
      <c r="AX635" s="37"/>
      <c r="AY635" s="37"/>
      <c r="AZ635" s="37"/>
      <c r="CR635" s="37"/>
      <c r="CS635" s="37"/>
    </row>
    <row r="636" spans="1:97" ht="13.35" customHeight="1" thickBot="1">
      <c r="A636" s="4"/>
      <c r="B636" t="s">
        <v>907</v>
      </c>
      <c r="G636" s="1044" t="s">
        <v>1388</v>
      </c>
      <c r="H636" s="1044"/>
      <c r="I636" s="1044"/>
      <c r="J636" s="1044"/>
      <c r="K636" s="1044"/>
      <c r="L636" s="1044"/>
      <c r="M636" s="1044"/>
      <c r="N636" s="1044"/>
      <c r="O636" s="1044"/>
      <c r="P636" s="1044"/>
      <c r="Q636" s="1044"/>
      <c r="R636" s="1044"/>
      <c r="T636" s="4"/>
      <c r="U636" t="s">
        <v>907</v>
      </c>
      <c r="Z636" s="1045" t="s">
        <v>1389</v>
      </c>
      <c r="AA636" s="1045"/>
      <c r="AB636" s="1045"/>
      <c r="AC636" s="1045"/>
      <c r="AD636" s="1045"/>
      <c r="AE636" s="1045"/>
      <c r="AF636" s="1045"/>
      <c r="AG636" s="1045"/>
      <c r="AH636" s="1045"/>
      <c r="AI636" s="1045"/>
      <c r="AJ636" s="1045"/>
      <c r="AK636" s="1045"/>
      <c r="AM636" s="37"/>
      <c r="AN636" s="37"/>
      <c r="AO636" s="37"/>
      <c r="AP636" s="37"/>
      <c r="AQ636" s="37"/>
      <c r="AR636" s="37"/>
      <c r="AS636" s="37"/>
      <c r="AT636" s="37"/>
      <c r="AU636" s="37"/>
      <c r="AV636" s="37"/>
      <c r="AW636" s="37"/>
      <c r="AX636" s="37"/>
      <c r="AY636" s="37"/>
      <c r="AZ636" s="37"/>
      <c r="CP636" s="55" t="s">
        <v>1429</v>
      </c>
      <c r="CQ636" s="392">
        <f>CQ634+CQ615</f>
        <v>43</v>
      </c>
      <c r="CR636" s="37"/>
      <c r="CS636" s="37"/>
    </row>
    <row r="637" spans="1:97" ht="13.35" customHeight="1">
      <c r="A637" s="4"/>
      <c r="B637" t="s">
        <v>1390</v>
      </c>
      <c r="G637" s="1044" t="s">
        <v>1430</v>
      </c>
      <c r="H637" s="1044"/>
      <c r="I637" s="1044"/>
      <c r="J637" s="1044"/>
      <c r="K637" s="1044"/>
      <c r="L637" s="1044"/>
      <c r="M637" s="1044"/>
      <c r="N637" s="1044"/>
      <c r="O637" s="1044"/>
      <c r="P637" s="1044"/>
      <c r="Q637" s="1044"/>
      <c r="R637" s="1044"/>
      <c r="S637" s="12"/>
      <c r="T637" s="4"/>
      <c r="U637" t="s">
        <v>1390</v>
      </c>
      <c r="Z637" s="1045" t="s">
        <v>1392</v>
      </c>
      <c r="AA637" s="1045"/>
      <c r="AB637" s="1045"/>
      <c r="AC637" s="1045"/>
      <c r="AD637" s="1045"/>
      <c r="AE637" s="1045"/>
      <c r="AF637" s="1045"/>
      <c r="AG637" s="1045"/>
      <c r="AH637" s="1045"/>
      <c r="AI637" s="1045"/>
      <c r="AJ637" s="1045"/>
      <c r="AK637" s="1045"/>
      <c r="AM637" s="37"/>
      <c r="AN637" s="37"/>
      <c r="AO637" s="37"/>
      <c r="AP637" s="37"/>
      <c r="AQ637" s="37"/>
      <c r="AR637" s="37"/>
      <c r="AS637" s="37"/>
      <c r="AT637" s="37"/>
      <c r="AU637" s="37"/>
      <c r="AV637" s="37"/>
      <c r="AW637" s="37"/>
      <c r="AX637" s="37"/>
      <c r="AY637" s="37"/>
      <c r="AZ637" s="37"/>
      <c r="BN637" s="37" t="s">
        <v>1431</v>
      </c>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row>
    <row r="638" spans="1:97" ht="13.35" customHeight="1">
      <c r="A638" s="4"/>
      <c r="B638" t="s">
        <v>823</v>
      </c>
      <c r="G638" s="1068">
        <v>3104076183</v>
      </c>
      <c r="H638" s="1068"/>
      <c r="I638" s="1068"/>
      <c r="J638" s="1068"/>
      <c r="K638" s="1068"/>
      <c r="L638" s="1068"/>
      <c r="O638" s="827" t="s">
        <v>1054</v>
      </c>
      <c r="P638" s="1093"/>
      <c r="Q638" s="1093"/>
      <c r="R638" s="1093"/>
      <c r="S638" s="14"/>
      <c r="T638" s="4"/>
      <c r="U638" t="s">
        <v>823</v>
      </c>
      <c r="Z638" s="1068">
        <v>6262624511</v>
      </c>
      <c r="AA638" s="1068"/>
      <c r="AB638" s="1068"/>
      <c r="AC638" s="1068"/>
      <c r="AD638" s="1068"/>
      <c r="AE638" s="1068"/>
      <c r="AH638" s="827" t="s">
        <v>1054</v>
      </c>
      <c r="AI638" s="1093"/>
      <c r="AJ638" s="1093"/>
      <c r="AK638" s="1093"/>
      <c r="AM638" s="37"/>
      <c r="AN638" s="37"/>
      <c r="AO638" s="37"/>
      <c r="AP638" s="37"/>
      <c r="AQ638" s="37"/>
      <c r="AR638" s="37"/>
      <c r="AS638" s="37"/>
      <c r="AT638" s="37"/>
      <c r="AU638" s="37"/>
      <c r="AV638" s="37"/>
      <c r="AW638" s="37"/>
      <c r="AX638" s="37"/>
      <c r="AY638" s="37"/>
      <c r="AZ638" s="37"/>
      <c r="BN638" s="1192">
        <f>BN613+BN620+BN632</f>
        <v>43</v>
      </c>
      <c r="BO638" s="1193"/>
      <c r="BP638" s="1193"/>
      <c r="BQ638" s="1193"/>
      <c r="BR638" s="1195"/>
      <c r="BS638" s="1192">
        <f>BS613+BS620+BS632</f>
        <v>0</v>
      </c>
      <c r="BT638" s="1193"/>
      <c r="BU638" s="1193"/>
      <c r="BV638" s="1193"/>
      <c r="BW638" s="1195"/>
      <c r="BX638" s="1192">
        <f>BX613+BX620+BX632</f>
        <v>1</v>
      </c>
      <c r="BY638" s="1193"/>
      <c r="BZ638" s="1193"/>
      <c r="CA638" s="1193"/>
      <c r="CB638" s="1195"/>
      <c r="CC638" s="1192">
        <f>CC613+CC620+CC632</f>
        <v>0</v>
      </c>
      <c r="CD638" s="1193"/>
      <c r="CE638" s="1193"/>
      <c r="CF638" s="1193"/>
      <c r="CG638" s="1195"/>
      <c r="CH638" s="1192">
        <f>CH613+CH620+CH632</f>
        <v>0</v>
      </c>
      <c r="CI638" s="1193"/>
      <c r="CJ638" s="1193"/>
      <c r="CK638" s="1193"/>
      <c r="CL638" s="1195"/>
      <c r="CM638" s="1192">
        <f>CM632+CM620+CM613</f>
        <v>0</v>
      </c>
      <c r="CN638" s="1193"/>
      <c r="CO638" s="1193"/>
      <c r="CP638" s="1193"/>
      <c r="CQ638" s="1195"/>
      <c r="CR638" s="37"/>
      <c r="CS638" s="37"/>
    </row>
    <row r="639" spans="1:97" ht="13.35" customHeight="1">
      <c r="A639" s="4"/>
      <c r="B639" t="s">
        <v>1393</v>
      </c>
      <c r="H639" s="1044" t="s">
        <v>1432</v>
      </c>
      <c r="I639" s="1044"/>
      <c r="J639" s="1044"/>
      <c r="K639" s="1044"/>
      <c r="L639" s="1044"/>
      <c r="M639" s="1044"/>
      <c r="N639" s="1044"/>
      <c r="O639" s="1044"/>
      <c r="P639" s="1044"/>
      <c r="Q639" s="1044"/>
      <c r="R639" s="1044"/>
      <c r="S639" s="12"/>
      <c r="T639" s="4"/>
      <c r="U639" t="s">
        <v>1393</v>
      </c>
      <c r="AA639" s="1070" t="s">
        <v>1343</v>
      </c>
      <c r="AB639" s="1044"/>
      <c r="AC639" s="1044"/>
      <c r="AD639" s="1044"/>
      <c r="AE639" s="1044"/>
      <c r="AF639" s="1044"/>
      <c r="AG639" s="1044"/>
      <c r="AH639" s="1044"/>
      <c r="AI639" s="1044"/>
      <c r="AJ639" s="1044"/>
      <c r="AK639" s="1044"/>
      <c r="AM639" s="37"/>
      <c r="AN639" s="37"/>
      <c r="AO639" s="37"/>
      <c r="AP639" s="37"/>
      <c r="AQ639" s="37"/>
      <c r="AR639" s="37"/>
      <c r="AS639" s="37"/>
      <c r="AT639" s="37"/>
      <c r="AU639" s="37"/>
      <c r="AV639" s="37"/>
      <c r="AW639" s="37"/>
      <c r="AX639" s="37"/>
      <c r="AY639" s="37"/>
      <c r="AZ639" s="37"/>
      <c r="CM639" s="37"/>
      <c r="CN639" s="37"/>
      <c r="CO639" s="37"/>
      <c r="CP639" s="37"/>
      <c r="CQ639" s="37"/>
      <c r="CR639" s="37"/>
      <c r="CS639" s="37"/>
    </row>
    <row r="640" spans="1:97" ht="13.35" customHeight="1">
      <c r="A640" s="37"/>
      <c r="B640" t="s">
        <v>1395</v>
      </c>
      <c r="N640" s="1069" t="s">
        <v>826</v>
      </c>
      <c r="O640" s="1069"/>
      <c r="T640" s="4"/>
      <c r="U640" t="s">
        <v>1395</v>
      </c>
      <c r="AG640" s="1069" t="s">
        <v>826</v>
      </c>
      <c r="AH640" s="1069"/>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row>
    <row r="641" spans="1:97" ht="13.35" customHeight="1">
      <c r="A641" s="4"/>
      <c r="T641" s="4"/>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row>
    <row r="642" spans="1:97" ht="13.35" customHeight="1">
      <c r="A642" s="54" t="s">
        <v>33</v>
      </c>
      <c r="B642" t="s">
        <v>1385</v>
      </c>
      <c r="G642" s="1236">
        <f>C620</f>
        <v>0</v>
      </c>
      <c r="H642" s="1236"/>
      <c r="I642" s="1236"/>
      <c r="J642" s="1236"/>
      <c r="K642" s="1236"/>
      <c r="L642" s="1236"/>
      <c r="M642" s="1236"/>
      <c r="N642" s="1236"/>
      <c r="O642" s="1236"/>
      <c r="P642" s="1236"/>
      <c r="Q642" s="1236"/>
      <c r="R642" s="1236"/>
      <c r="T642" s="54" t="s">
        <v>91</v>
      </c>
      <c r="U642" t="s">
        <v>1385</v>
      </c>
      <c r="Z642" s="1236">
        <f>C621</f>
        <v>0</v>
      </c>
      <c r="AA642" s="1236"/>
      <c r="AB642" s="1236"/>
      <c r="AC642" s="1236"/>
      <c r="AD642" s="1236"/>
      <c r="AE642" s="1236"/>
      <c r="AF642" s="1236"/>
      <c r="AG642" s="1236"/>
      <c r="AH642" s="1236"/>
      <c r="AI642" s="1236"/>
      <c r="AJ642" s="1236"/>
      <c r="AK642" s="1236"/>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7" ht="13.35" customHeight="1">
      <c r="A643" s="4"/>
      <c r="B643" t="s">
        <v>1045</v>
      </c>
      <c r="G643" s="1044"/>
      <c r="H643" s="1044"/>
      <c r="I643" s="1044"/>
      <c r="J643" s="1044"/>
      <c r="K643" s="1044"/>
      <c r="L643" s="1044"/>
      <c r="M643" s="1044"/>
      <c r="N643" s="1044"/>
      <c r="O643" s="1044"/>
      <c r="P643" s="1044"/>
      <c r="Q643" s="1044"/>
      <c r="R643" s="1044"/>
      <c r="T643" s="4"/>
      <c r="U643" t="s">
        <v>1045</v>
      </c>
      <c r="Z643" s="1044"/>
      <c r="AA643" s="1044"/>
      <c r="AB643" s="1044"/>
      <c r="AC643" s="1044"/>
      <c r="AD643" s="1044"/>
      <c r="AE643" s="1044"/>
      <c r="AF643" s="1044"/>
      <c r="AG643" s="1044"/>
      <c r="AH643" s="1044"/>
      <c r="AI643" s="1044"/>
      <c r="AJ643" s="1044"/>
      <c r="AK643" s="1044"/>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row>
    <row r="644" spans="1:97" ht="13.35" customHeight="1">
      <c r="A644" s="4"/>
      <c r="B644" t="s">
        <v>907</v>
      </c>
      <c r="G644" s="1045"/>
      <c r="H644" s="1045"/>
      <c r="I644" s="1045"/>
      <c r="J644" s="1045"/>
      <c r="K644" s="1045"/>
      <c r="L644" s="1045"/>
      <c r="M644" s="1045"/>
      <c r="N644" s="1045"/>
      <c r="O644" s="1045"/>
      <c r="P644" s="1045"/>
      <c r="Q644" s="1045"/>
      <c r="R644" s="1045"/>
      <c r="T644" s="4"/>
      <c r="U644" t="s">
        <v>907</v>
      </c>
      <c r="Z644" s="1045"/>
      <c r="AA644" s="1045"/>
      <c r="AB644" s="1045"/>
      <c r="AC644" s="1045"/>
      <c r="AD644" s="1045"/>
      <c r="AE644" s="1045"/>
      <c r="AF644" s="1045"/>
      <c r="AG644" s="1045"/>
      <c r="AH644" s="1045"/>
      <c r="AI644" s="1045"/>
      <c r="AJ644" s="1045"/>
      <c r="AK644" s="1045"/>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row>
    <row r="645" spans="1:97" ht="13.35" customHeight="1">
      <c r="A645" s="4"/>
      <c r="B645" t="s">
        <v>1390</v>
      </c>
      <c r="G645" s="1045"/>
      <c r="H645" s="1045"/>
      <c r="I645" s="1045"/>
      <c r="J645" s="1045"/>
      <c r="K645" s="1045"/>
      <c r="L645" s="1045"/>
      <c r="M645" s="1045"/>
      <c r="N645" s="1045"/>
      <c r="O645" s="1045"/>
      <c r="P645" s="1045"/>
      <c r="Q645" s="1045"/>
      <c r="R645" s="1045"/>
      <c r="T645" s="4"/>
      <c r="U645" t="s">
        <v>1390</v>
      </c>
      <c r="Z645" s="1045"/>
      <c r="AA645" s="1045"/>
      <c r="AB645" s="1045"/>
      <c r="AC645" s="1045"/>
      <c r="AD645" s="1045"/>
      <c r="AE645" s="1045"/>
      <c r="AF645" s="1045"/>
      <c r="AG645" s="1045"/>
      <c r="AH645" s="1045"/>
      <c r="AI645" s="1045"/>
      <c r="AJ645" s="1045"/>
      <c r="AK645" s="1045"/>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row>
    <row r="646" spans="1:97" ht="13.35" customHeight="1">
      <c r="A646" s="4"/>
      <c r="B646" t="s">
        <v>823</v>
      </c>
      <c r="G646" s="1068"/>
      <c r="H646" s="1068"/>
      <c r="I646" s="1068"/>
      <c r="J646" s="1068"/>
      <c r="K646" s="1068"/>
      <c r="L646" s="1068"/>
      <c r="O646" s="827" t="s">
        <v>1054</v>
      </c>
      <c r="P646" s="1093"/>
      <c r="Q646" s="1093"/>
      <c r="R646" s="1093"/>
      <c r="T646" s="4"/>
      <c r="U646" t="s">
        <v>823</v>
      </c>
      <c r="Z646" s="1068"/>
      <c r="AA646" s="1068"/>
      <c r="AB646" s="1068"/>
      <c r="AC646" s="1068"/>
      <c r="AD646" s="1068"/>
      <c r="AE646" s="1068"/>
      <c r="AH646" s="827" t="s">
        <v>1054</v>
      </c>
      <c r="AI646" s="1093"/>
      <c r="AJ646" s="1093"/>
      <c r="AK646" s="1093"/>
      <c r="AL646" s="260"/>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row>
    <row r="647" spans="1:97" ht="13.35" customHeight="1">
      <c r="A647" s="4"/>
      <c r="B647" t="s">
        <v>1393</v>
      </c>
      <c r="H647" s="1044"/>
      <c r="I647" s="1044"/>
      <c r="J647" s="1044"/>
      <c r="K647" s="1044"/>
      <c r="L647" s="1044"/>
      <c r="M647" s="1044"/>
      <c r="N647" s="1044"/>
      <c r="O647" s="1044"/>
      <c r="P647" s="1044"/>
      <c r="Q647" s="1044"/>
      <c r="R647" s="1044"/>
      <c r="T647" s="4"/>
      <c r="U647" t="s">
        <v>1393</v>
      </c>
      <c r="AA647" s="1044"/>
      <c r="AB647" s="1044"/>
      <c r="AC647" s="1044"/>
      <c r="AD647" s="1044"/>
      <c r="AE647" s="1044"/>
      <c r="AF647" s="1044"/>
      <c r="AG647" s="1044"/>
      <c r="AH647" s="1044"/>
      <c r="AI647" s="1044"/>
      <c r="AJ647" s="1044"/>
      <c r="AK647" s="1044"/>
      <c r="AL647" s="260"/>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row>
    <row r="648" spans="1:97" ht="13.35" customHeight="1">
      <c r="B648" t="s">
        <v>1395</v>
      </c>
      <c r="N648" s="1069" t="s">
        <v>712</v>
      </c>
      <c r="O648" s="1069"/>
      <c r="T648" s="4"/>
      <c r="U648" t="s">
        <v>1395</v>
      </c>
      <c r="AG648" s="1069" t="s">
        <v>712</v>
      </c>
      <c r="AH648" s="1069"/>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row>
    <row r="649" spans="1:97" ht="13.35" customHeight="1">
      <c r="A649" s="4"/>
      <c r="T649" s="4"/>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row>
    <row r="650" spans="1:97" ht="13.35" customHeight="1">
      <c r="A650" s="54" t="s">
        <v>95</v>
      </c>
      <c r="B650" t="s">
        <v>1385</v>
      </c>
      <c r="G650" s="1236">
        <f>C622</f>
        <v>0</v>
      </c>
      <c r="H650" s="1236"/>
      <c r="I650" s="1236"/>
      <c r="J650" s="1236"/>
      <c r="K650" s="1236"/>
      <c r="L650" s="1236"/>
      <c r="M650" s="1236"/>
      <c r="N650" s="1236"/>
      <c r="O650" s="1236"/>
      <c r="P650" s="1236"/>
      <c r="Q650" s="1236"/>
      <c r="R650" s="1236"/>
      <c r="T650" s="54" t="s">
        <v>1377</v>
      </c>
      <c r="U650" t="s">
        <v>1385</v>
      </c>
      <c r="Z650" s="1236">
        <f>C623</f>
        <v>0</v>
      </c>
      <c r="AA650" s="1236"/>
      <c r="AB650" s="1236"/>
      <c r="AC650" s="1236"/>
      <c r="AD650" s="1236"/>
      <c r="AE650" s="1236"/>
      <c r="AF650" s="1236"/>
      <c r="AG650" s="1236"/>
      <c r="AH650" s="1236"/>
      <c r="AI650" s="1236"/>
      <c r="AJ650" s="1236"/>
      <c r="AK650" s="1236"/>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3.35" customHeight="1">
      <c r="A651" s="4"/>
      <c r="B651" t="s">
        <v>1045</v>
      </c>
      <c r="G651" s="1044"/>
      <c r="H651" s="1044"/>
      <c r="I651" s="1044"/>
      <c r="J651" s="1044"/>
      <c r="K651" s="1044"/>
      <c r="L651" s="1044"/>
      <c r="M651" s="1044"/>
      <c r="N651" s="1044"/>
      <c r="O651" s="1044"/>
      <c r="P651" s="1044"/>
      <c r="Q651" s="1044"/>
      <c r="R651" s="1044"/>
      <c r="T651" s="4"/>
      <c r="U651" t="s">
        <v>1045</v>
      </c>
      <c r="Z651" s="1044"/>
      <c r="AA651" s="1044"/>
      <c r="AB651" s="1044"/>
      <c r="AC651" s="1044"/>
      <c r="AD651" s="1044"/>
      <c r="AE651" s="1044"/>
      <c r="AF651" s="1044"/>
      <c r="AG651" s="1044"/>
      <c r="AH651" s="1044"/>
      <c r="AI651" s="1044"/>
      <c r="AJ651" s="1044"/>
      <c r="AK651" s="1044"/>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3.35" customHeight="1">
      <c r="A652" s="4"/>
      <c r="B652" t="s">
        <v>907</v>
      </c>
      <c r="G652" s="1044"/>
      <c r="H652" s="1044"/>
      <c r="I652" s="1044"/>
      <c r="J652" s="1044"/>
      <c r="K652" s="1044"/>
      <c r="L652" s="1044"/>
      <c r="M652" s="1044"/>
      <c r="N652" s="1044"/>
      <c r="O652" s="1044"/>
      <c r="P652" s="1044"/>
      <c r="Q652" s="1044"/>
      <c r="R652" s="1044"/>
      <c r="T652" s="4"/>
      <c r="U652" t="s">
        <v>907</v>
      </c>
      <c r="Z652" s="1045"/>
      <c r="AA652" s="1045"/>
      <c r="AB652" s="1045"/>
      <c r="AC652" s="1045"/>
      <c r="AD652" s="1045"/>
      <c r="AE652" s="1045"/>
      <c r="AF652" s="1045"/>
      <c r="AG652" s="1045"/>
      <c r="AH652" s="1045"/>
      <c r="AI652" s="1045"/>
      <c r="AJ652" s="1045"/>
      <c r="AK652" s="1045"/>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row>
    <row r="653" spans="1:97" ht="13.35" customHeight="1">
      <c r="A653" s="4"/>
      <c r="B653" t="s">
        <v>1390</v>
      </c>
      <c r="G653" s="1044"/>
      <c r="H653" s="1044"/>
      <c r="I653" s="1044"/>
      <c r="J653" s="1044"/>
      <c r="K653" s="1044"/>
      <c r="L653" s="1044"/>
      <c r="M653" s="1044"/>
      <c r="N653" s="1044"/>
      <c r="O653" s="1044"/>
      <c r="P653" s="1044"/>
      <c r="Q653" s="1044"/>
      <c r="R653" s="1044"/>
      <c r="T653" s="4"/>
      <c r="U653" t="s">
        <v>1390</v>
      </c>
      <c r="Z653" s="1045"/>
      <c r="AA653" s="1045"/>
      <c r="AB653" s="1045"/>
      <c r="AC653" s="1045"/>
      <c r="AD653" s="1045"/>
      <c r="AE653" s="1045"/>
      <c r="AF653" s="1045"/>
      <c r="AG653" s="1045"/>
      <c r="AH653" s="1045"/>
      <c r="AI653" s="1045"/>
      <c r="AJ653" s="1045"/>
      <c r="AK653" s="1045"/>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3.35" customHeight="1">
      <c r="A654" s="4"/>
      <c r="B654" t="s">
        <v>823</v>
      </c>
      <c r="G654" s="1068"/>
      <c r="H654" s="1068"/>
      <c r="I654" s="1068"/>
      <c r="J654" s="1068"/>
      <c r="K654" s="1068"/>
      <c r="L654" s="1068"/>
      <c r="O654" s="827" t="s">
        <v>1054</v>
      </c>
      <c r="P654" s="1093"/>
      <c r="Q654" s="1093"/>
      <c r="R654" s="1093"/>
      <c r="T654" s="4"/>
      <c r="U654" t="s">
        <v>823</v>
      </c>
      <c r="Z654" s="1068"/>
      <c r="AA654" s="1068"/>
      <c r="AB654" s="1068"/>
      <c r="AC654" s="1068"/>
      <c r="AD654" s="1068"/>
      <c r="AE654" s="1068"/>
      <c r="AH654" s="827" t="s">
        <v>1054</v>
      </c>
      <c r="AI654" s="1093"/>
      <c r="AJ654" s="1093"/>
      <c r="AK654" s="1093"/>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3.35" customHeight="1">
      <c r="A655" s="4"/>
      <c r="B655" t="s">
        <v>1393</v>
      </c>
      <c r="H655" s="1044"/>
      <c r="I655" s="1044"/>
      <c r="J655" s="1044"/>
      <c r="K655" s="1044"/>
      <c r="L655" s="1044"/>
      <c r="M655" s="1044"/>
      <c r="N655" s="1044"/>
      <c r="O655" s="1044"/>
      <c r="P655" s="1044"/>
      <c r="Q655" s="1044"/>
      <c r="R655" s="1044"/>
      <c r="T655" s="4"/>
      <c r="U655" t="s">
        <v>1393</v>
      </c>
      <c r="AA655" s="1044"/>
      <c r="AB655" s="1044"/>
      <c r="AC655" s="1044"/>
      <c r="AD655" s="1044"/>
      <c r="AE655" s="1044"/>
      <c r="AF655" s="1044"/>
      <c r="AG655" s="1044"/>
      <c r="AH655" s="1044"/>
      <c r="AI655" s="1044"/>
      <c r="AJ655" s="1044"/>
      <c r="AK655" s="1044"/>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3.35" customHeight="1">
      <c r="B656" t="s">
        <v>1395</v>
      </c>
      <c r="N656" s="1069" t="s">
        <v>712</v>
      </c>
      <c r="O656" s="1069"/>
      <c r="T656" s="4"/>
      <c r="U656" t="s">
        <v>1395</v>
      </c>
      <c r="AG656" s="1069" t="s">
        <v>712</v>
      </c>
      <c r="AH656" s="1069"/>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3.35" customHeight="1">
      <c r="A657" s="4"/>
      <c r="T657" s="4"/>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3.35" customHeight="1">
      <c r="A658" s="54" t="s">
        <v>1378</v>
      </c>
      <c r="B658" t="s">
        <v>1385</v>
      </c>
      <c r="G658" s="1236">
        <f>C624</f>
        <v>0</v>
      </c>
      <c r="H658" s="1236"/>
      <c r="I658" s="1236"/>
      <c r="J658" s="1236"/>
      <c r="K658" s="1236"/>
      <c r="L658" s="1236"/>
      <c r="M658" s="1236"/>
      <c r="N658" s="1236"/>
      <c r="O658" s="1236"/>
      <c r="P658" s="1236"/>
      <c r="Q658" s="1236"/>
      <c r="R658" s="1236"/>
      <c r="T658" s="54" t="s">
        <v>1379</v>
      </c>
      <c r="U658" t="s">
        <v>1385</v>
      </c>
      <c r="Z658" s="1236">
        <f>C625</f>
        <v>0</v>
      </c>
      <c r="AA658" s="1236"/>
      <c r="AB658" s="1236"/>
      <c r="AC658" s="1236"/>
      <c r="AD658" s="1236"/>
      <c r="AE658" s="1236"/>
      <c r="AF658" s="1236"/>
      <c r="AG658" s="1236"/>
      <c r="AH658" s="1236"/>
      <c r="AI658" s="1236"/>
      <c r="AJ658" s="1236"/>
      <c r="AK658" s="1236"/>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35" customHeight="1">
      <c r="A659" s="4"/>
      <c r="B659" t="s">
        <v>1045</v>
      </c>
      <c r="G659" s="1044"/>
      <c r="H659" s="1044"/>
      <c r="I659" s="1044"/>
      <c r="J659" s="1044"/>
      <c r="K659" s="1044"/>
      <c r="L659" s="1044"/>
      <c r="M659" s="1044"/>
      <c r="N659" s="1044"/>
      <c r="O659" s="1044"/>
      <c r="P659" s="1044"/>
      <c r="Q659" s="1044"/>
      <c r="R659" s="1044"/>
      <c r="T659" s="4"/>
      <c r="U659" t="s">
        <v>1045</v>
      </c>
      <c r="Z659" s="1044"/>
      <c r="AA659" s="1044"/>
      <c r="AB659" s="1044"/>
      <c r="AC659" s="1044"/>
      <c r="AD659" s="1044"/>
      <c r="AE659" s="1044"/>
      <c r="AF659" s="1044"/>
      <c r="AG659" s="1044"/>
      <c r="AH659" s="1044"/>
      <c r="AI659" s="1044"/>
      <c r="AJ659" s="1044"/>
      <c r="AK659" s="1044"/>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35" customHeight="1">
      <c r="A660" s="4"/>
      <c r="B660" t="s">
        <v>907</v>
      </c>
      <c r="G660" s="1044"/>
      <c r="H660" s="1044"/>
      <c r="I660" s="1044"/>
      <c r="J660" s="1044"/>
      <c r="K660" s="1044"/>
      <c r="L660" s="1044"/>
      <c r="M660" s="1044"/>
      <c r="N660" s="1044"/>
      <c r="O660" s="1044"/>
      <c r="P660" s="1044"/>
      <c r="Q660" s="1044"/>
      <c r="R660" s="1044"/>
      <c r="T660" s="4"/>
      <c r="U660" t="s">
        <v>907</v>
      </c>
      <c r="Z660" s="1045"/>
      <c r="AA660" s="1045"/>
      <c r="AB660" s="1045"/>
      <c r="AC660" s="1045"/>
      <c r="AD660" s="1045"/>
      <c r="AE660" s="1045"/>
      <c r="AF660" s="1045"/>
      <c r="AG660" s="1045"/>
      <c r="AH660" s="1045"/>
      <c r="AI660" s="1045"/>
      <c r="AJ660" s="1045"/>
      <c r="AK660" s="1045"/>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3.35" customHeight="1">
      <c r="A661" s="4"/>
      <c r="B661" t="s">
        <v>1390</v>
      </c>
      <c r="G661" s="1044"/>
      <c r="H661" s="1044"/>
      <c r="I661" s="1044"/>
      <c r="J661" s="1044"/>
      <c r="K661" s="1044"/>
      <c r="L661" s="1044"/>
      <c r="M661" s="1044"/>
      <c r="N661" s="1044"/>
      <c r="O661" s="1044"/>
      <c r="P661" s="1044"/>
      <c r="Q661" s="1044"/>
      <c r="R661" s="1044"/>
      <c r="T661" s="4"/>
      <c r="U661" t="s">
        <v>1390</v>
      </c>
      <c r="Z661" s="1045"/>
      <c r="AA661" s="1045"/>
      <c r="AB661" s="1045"/>
      <c r="AC661" s="1045"/>
      <c r="AD661" s="1045"/>
      <c r="AE661" s="1045"/>
      <c r="AF661" s="1045"/>
      <c r="AG661" s="1045"/>
      <c r="AH661" s="1045"/>
      <c r="AI661" s="1045"/>
      <c r="AJ661" s="1045"/>
      <c r="AK661" s="1045"/>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35" customHeight="1">
      <c r="A662" s="4"/>
      <c r="B662" t="s">
        <v>823</v>
      </c>
      <c r="G662" s="1068"/>
      <c r="H662" s="1068"/>
      <c r="I662" s="1068"/>
      <c r="J662" s="1068"/>
      <c r="K662" s="1068"/>
      <c r="L662" s="1068"/>
      <c r="O662" s="827" t="s">
        <v>1054</v>
      </c>
      <c r="P662" s="1093"/>
      <c r="Q662" s="1093"/>
      <c r="R662" s="1093"/>
      <c r="T662" s="4"/>
      <c r="U662" t="s">
        <v>823</v>
      </c>
      <c r="Z662" s="1068"/>
      <c r="AA662" s="1068"/>
      <c r="AB662" s="1068"/>
      <c r="AC662" s="1068"/>
      <c r="AD662" s="1068"/>
      <c r="AE662" s="1068"/>
      <c r="AH662" s="827" t="s">
        <v>1054</v>
      </c>
      <c r="AI662" s="1093"/>
      <c r="AJ662" s="1093"/>
      <c r="AK662" s="1093"/>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35" customHeight="1">
      <c r="A663" s="4"/>
      <c r="B663" t="s">
        <v>1393</v>
      </c>
      <c r="H663" s="1044"/>
      <c r="I663" s="1044"/>
      <c r="J663" s="1044"/>
      <c r="K663" s="1044"/>
      <c r="L663" s="1044"/>
      <c r="M663" s="1044"/>
      <c r="N663" s="1044"/>
      <c r="O663" s="1044"/>
      <c r="P663" s="1044"/>
      <c r="Q663" s="1044"/>
      <c r="R663" s="1044"/>
      <c r="T663" s="4"/>
      <c r="U663" t="s">
        <v>1393</v>
      </c>
      <c r="AA663" s="1044"/>
      <c r="AB663" s="1044"/>
      <c r="AC663" s="1044"/>
      <c r="AD663" s="1044"/>
      <c r="AE663" s="1044"/>
      <c r="AF663" s="1044"/>
      <c r="AG663" s="1044"/>
      <c r="AH663" s="1044"/>
      <c r="AI663" s="1044"/>
      <c r="AJ663" s="1044"/>
      <c r="AK663" s="104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35" customHeight="1">
      <c r="B664" t="s">
        <v>1395</v>
      </c>
      <c r="N664" s="1069" t="s">
        <v>712</v>
      </c>
      <c r="O664" s="1069"/>
      <c r="T664" s="4"/>
      <c r="U664" t="s">
        <v>1395</v>
      </c>
      <c r="AG664" s="1069" t="s">
        <v>712</v>
      </c>
      <c r="AH664" s="1069"/>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35" customHeight="1">
      <c r="A665" s="4"/>
      <c r="T665" s="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35" customHeight="1">
      <c r="A666" s="54" t="s">
        <v>1380</v>
      </c>
      <c r="B666" t="s">
        <v>1385</v>
      </c>
      <c r="G666" s="1236">
        <f>C626</f>
        <v>0</v>
      </c>
      <c r="H666" s="1236"/>
      <c r="I666" s="1236"/>
      <c r="J666" s="1236"/>
      <c r="K666" s="1236"/>
      <c r="L666" s="1236"/>
      <c r="M666" s="1236"/>
      <c r="N666" s="1236"/>
      <c r="O666" s="1236"/>
      <c r="P666" s="1236"/>
      <c r="Q666" s="1236"/>
      <c r="R666" s="1236"/>
      <c r="T666" s="54" t="s">
        <v>1381</v>
      </c>
      <c r="U666" t="s">
        <v>1385</v>
      </c>
      <c r="Z666" s="1236">
        <f>C627</f>
        <v>0</v>
      </c>
      <c r="AA666" s="1236"/>
      <c r="AB666" s="1236"/>
      <c r="AC666" s="1236"/>
      <c r="AD666" s="1236"/>
      <c r="AE666" s="1236"/>
      <c r="AF666" s="1236"/>
      <c r="AG666" s="1236"/>
      <c r="AH666" s="1236"/>
      <c r="AI666" s="1236"/>
      <c r="AJ666" s="1236"/>
      <c r="AK666" s="1236"/>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35" customHeight="1">
      <c r="A667" s="4"/>
      <c r="B667" t="s">
        <v>1045</v>
      </c>
      <c r="G667" s="1044"/>
      <c r="H667" s="1044"/>
      <c r="I667" s="1044"/>
      <c r="J667" s="1044"/>
      <c r="K667" s="1044"/>
      <c r="L667" s="1044"/>
      <c r="M667" s="1044"/>
      <c r="N667" s="1044"/>
      <c r="O667" s="1044"/>
      <c r="P667" s="1044"/>
      <c r="Q667" s="1044"/>
      <c r="R667" s="1044"/>
      <c r="T667" s="4"/>
      <c r="U667" t="s">
        <v>1045</v>
      </c>
      <c r="Z667" s="1044"/>
      <c r="AA667" s="1044"/>
      <c r="AB667" s="1044"/>
      <c r="AC667" s="1044"/>
      <c r="AD667" s="1044"/>
      <c r="AE667" s="1044"/>
      <c r="AF667" s="1044"/>
      <c r="AG667" s="1044"/>
      <c r="AH667" s="1044"/>
      <c r="AI667" s="1044"/>
      <c r="AJ667" s="1044"/>
      <c r="AK667" s="1044"/>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35" customHeight="1">
      <c r="A668" s="4"/>
      <c r="B668" t="s">
        <v>907</v>
      </c>
      <c r="G668" s="1044"/>
      <c r="H668" s="1044"/>
      <c r="I668" s="1044"/>
      <c r="J668" s="1044"/>
      <c r="K668" s="1044"/>
      <c r="L668" s="1044"/>
      <c r="M668" s="1044"/>
      <c r="N668" s="1044"/>
      <c r="O668" s="1044"/>
      <c r="P668" s="1044"/>
      <c r="Q668" s="1044"/>
      <c r="R668" s="1044"/>
      <c r="T668" s="4"/>
      <c r="U668" t="s">
        <v>907</v>
      </c>
      <c r="Z668" s="1045"/>
      <c r="AA668" s="1045"/>
      <c r="AB668" s="1045"/>
      <c r="AC668" s="1045"/>
      <c r="AD668" s="1045"/>
      <c r="AE668" s="1045"/>
      <c r="AF668" s="1045"/>
      <c r="AG668" s="1045"/>
      <c r="AH668" s="1045"/>
      <c r="AI668" s="1045"/>
      <c r="AJ668" s="1045"/>
      <c r="AK668" s="1045"/>
      <c r="AM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35" customHeight="1">
      <c r="A669" s="4"/>
      <c r="B669" t="s">
        <v>1390</v>
      </c>
      <c r="G669" s="1044"/>
      <c r="H669" s="1044"/>
      <c r="I669" s="1044"/>
      <c r="J669" s="1044"/>
      <c r="K669" s="1044"/>
      <c r="L669" s="1044"/>
      <c r="M669" s="1044"/>
      <c r="N669" s="1044"/>
      <c r="O669" s="1044"/>
      <c r="P669" s="1044"/>
      <c r="Q669" s="1044"/>
      <c r="R669" s="1044"/>
      <c r="T669" s="4"/>
      <c r="U669" t="s">
        <v>1390</v>
      </c>
      <c r="Z669" s="1045"/>
      <c r="AA669" s="1045"/>
      <c r="AB669" s="1045"/>
      <c r="AC669" s="1045"/>
      <c r="AD669" s="1045"/>
      <c r="AE669" s="1045"/>
      <c r="AF669" s="1045"/>
      <c r="AG669" s="1045"/>
      <c r="AH669" s="1045"/>
      <c r="AI669" s="1045"/>
      <c r="AJ669" s="1045"/>
      <c r="AK669" s="1045"/>
      <c r="AM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35" customHeight="1">
      <c r="A670" s="4"/>
      <c r="B670" t="s">
        <v>823</v>
      </c>
      <c r="G670" s="1068"/>
      <c r="H670" s="1068"/>
      <c r="I670" s="1068"/>
      <c r="J670" s="1068"/>
      <c r="K670" s="1068"/>
      <c r="L670" s="1068"/>
      <c r="O670" s="827" t="s">
        <v>1054</v>
      </c>
      <c r="P670" s="1093"/>
      <c r="Q670" s="1093"/>
      <c r="R670" s="1093"/>
      <c r="T670" s="4"/>
      <c r="U670" t="s">
        <v>823</v>
      </c>
      <c r="Z670" s="1068"/>
      <c r="AA670" s="1068"/>
      <c r="AB670" s="1068"/>
      <c r="AC670" s="1068"/>
      <c r="AD670" s="1068"/>
      <c r="AE670" s="1068"/>
      <c r="AH670" s="827" t="s">
        <v>1054</v>
      </c>
      <c r="AI670" s="1093"/>
      <c r="AJ670" s="1093"/>
      <c r="AK670" s="1093"/>
      <c r="AM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35" customHeight="1">
      <c r="A671" s="4"/>
      <c r="B671" t="s">
        <v>1393</v>
      </c>
      <c r="H671" s="1044"/>
      <c r="I671" s="1044"/>
      <c r="J671" s="1044"/>
      <c r="K671" s="1044"/>
      <c r="L671" s="1044"/>
      <c r="M671" s="1044"/>
      <c r="N671" s="1044"/>
      <c r="O671" s="1044"/>
      <c r="P671" s="1044"/>
      <c r="Q671" s="1044"/>
      <c r="R671" s="1044"/>
      <c r="T671" s="4"/>
      <c r="U671" t="s">
        <v>1393</v>
      </c>
      <c r="AA671" s="1044"/>
      <c r="AB671" s="1044"/>
      <c r="AC671" s="1044"/>
      <c r="AD671" s="1044"/>
      <c r="AE671" s="1044"/>
      <c r="AF671" s="1044"/>
      <c r="AG671" s="1044"/>
      <c r="AH671" s="1044"/>
      <c r="AI671" s="1044"/>
      <c r="AJ671" s="1044"/>
      <c r="AK671" s="1044"/>
      <c r="AM671" s="37"/>
      <c r="BA671" s="37"/>
      <c r="BB671" s="37"/>
      <c r="BC671" s="37"/>
      <c r="BD671" s="37"/>
      <c r="BE671" s="37"/>
      <c r="BF671" s="37"/>
      <c r="BG671" s="37"/>
      <c r="BH671" s="37"/>
      <c r="BI671" s="37"/>
      <c r="BJ671" s="37"/>
      <c r="BK671" s="37"/>
      <c r="BL671" s="37"/>
      <c r="BM671" s="37"/>
      <c r="BN671" s="37"/>
      <c r="BO671" s="37"/>
      <c r="BP671" s="384" t="s">
        <v>1433</v>
      </c>
      <c r="BQ671" s="267"/>
      <c r="BR671" s="267"/>
      <c r="BS671" s="267"/>
      <c r="BT671" s="267"/>
      <c r="BU671" s="267"/>
      <c r="BV671" s="267"/>
      <c r="BW671" s="26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35" customHeight="1">
      <c r="B672" t="s">
        <v>1395</v>
      </c>
      <c r="N672" s="1069" t="s">
        <v>712</v>
      </c>
      <c r="O672" s="1069"/>
      <c r="T672" s="4"/>
      <c r="U672" t="s">
        <v>1395</v>
      </c>
      <c r="AG672" s="1069" t="s">
        <v>712</v>
      </c>
      <c r="AH672" s="1069"/>
      <c r="AM672" s="37"/>
      <c r="BA672" s="37"/>
      <c r="BB672" s="37"/>
      <c r="BC672" s="37"/>
      <c r="BD672" s="37"/>
      <c r="BE672" s="37"/>
      <c r="BF672" s="37"/>
      <c r="BG672" s="37"/>
      <c r="BH672" s="37"/>
      <c r="BI672" s="37"/>
      <c r="BJ672" s="37"/>
      <c r="BK672" s="37"/>
      <c r="BL672" s="37"/>
      <c r="BM672" s="37"/>
      <c r="BN672" s="37"/>
      <c r="BO672" s="37"/>
      <c r="BP672" s="385" t="s">
        <v>307</v>
      </c>
      <c r="BQ672" s="267"/>
      <c r="BR672" s="267"/>
      <c r="BS672" s="267"/>
      <c r="BT672" s="267"/>
      <c r="BU672" s="267"/>
      <c r="BV672" s="267"/>
      <c r="BW672" s="267"/>
      <c r="BX672" s="37"/>
      <c r="BY672" s="37"/>
      <c r="BZ672" s="37"/>
      <c r="CA672" s="37"/>
      <c r="CB672" s="37"/>
      <c r="CC672" s="37"/>
      <c r="CD672" s="37"/>
      <c r="CE672" s="37"/>
      <c r="CF672" s="37"/>
      <c r="CG672" s="37"/>
      <c r="CH672" s="37"/>
      <c r="CI672" s="37"/>
      <c r="CJ672" s="37"/>
      <c r="CK672" s="37"/>
      <c r="CL672" s="37"/>
      <c r="CM672" s="37"/>
      <c r="CN672" s="37"/>
      <c r="CO672" s="37"/>
      <c r="CP672" s="37"/>
      <c r="CQ672" s="37"/>
    </row>
    <row r="673" spans="1:95" ht="13.35" customHeight="1">
      <c r="T673" s="4"/>
      <c r="AM673" s="37"/>
      <c r="BA673" s="37"/>
      <c r="BB673" s="37"/>
      <c r="BC673" s="37"/>
      <c r="BD673" s="37"/>
      <c r="BE673" s="37"/>
      <c r="BF673" s="37"/>
      <c r="BG673" s="37"/>
      <c r="BH673" s="37"/>
      <c r="BI673" s="37"/>
      <c r="BJ673" s="37"/>
      <c r="BK673" s="37"/>
      <c r="BL673" s="37"/>
      <c r="BM673" s="37"/>
      <c r="BN673" s="37"/>
      <c r="BO673" s="37"/>
      <c r="BP673" s="880"/>
      <c r="BQ673" s="881"/>
      <c r="BR673" s="882"/>
      <c r="BS673" s="882"/>
      <c r="BT673" s="882"/>
      <c r="BU673" s="882"/>
      <c r="BV673" s="882"/>
      <c r="BW673" s="882"/>
      <c r="BX673" s="37"/>
      <c r="BY673" s="37"/>
      <c r="BZ673" s="37"/>
      <c r="CA673" s="37"/>
      <c r="CB673" s="37"/>
      <c r="CC673" s="37"/>
      <c r="CD673" s="37"/>
      <c r="CE673" s="37"/>
      <c r="CF673" s="37"/>
      <c r="CG673" s="37"/>
      <c r="CH673" s="37"/>
      <c r="CI673" s="37"/>
      <c r="CJ673" s="37"/>
      <c r="CK673" s="37"/>
      <c r="CL673" s="37"/>
      <c r="CM673" s="37"/>
      <c r="CN673" s="37"/>
      <c r="CO673" s="37"/>
      <c r="CP673" s="37"/>
      <c r="CQ673" s="37"/>
    </row>
    <row r="674" spans="1:95" ht="13.35" customHeight="1">
      <c r="A674" s="54" t="s">
        <v>1382</v>
      </c>
      <c r="B674" t="s">
        <v>1385</v>
      </c>
      <c r="G674" s="1236">
        <f>C628</f>
        <v>0</v>
      </c>
      <c r="H674" s="1236"/>
      <c r="I674" s="1236"/>
      <c r="J674" s="1236"/>
      <c r="K674" s="1236"/>
      <c r="L674" s="1236"/>
      <c r="M674" s="1236"/>
      <c r="N674" s="1236"/>
      <c r="O674" s="1236"/>
      <c r="P674" s="1236"/>
      <c r="Q674" s="1236"/>
      <c r="R674" s="1236"/>
      <c r="T674" s="54" t="s">
        <v>1383</v>
      </c>
      <c r="U674" t="s">
        <v>1385</v>
      </c>
      <c r="Z674" s="1236">
        <f>C629</f>
        <v>0</v>
      </c>
      <c r="AA674" s="1236"/>
      <c r="AB674" s="1236"/>
      <c r="AC674" s="1236"/>
      <c r="AD674" s="1236"/>
      <c r="AE674" s="1236"/>
      <c r="AF674" s="1236"/>
      <c r="AG674" s="1236"/>
      <c r="AH674" s="1236"/>
      <c r="AI674" s="1236"/>
      <c r="AJ674" s="1236"/>
      <c r="AK674" s="1236"/>
      <c r="AM674" s="37"/>
      <c r="BA674" s="231" t="s">
        <v>1434</v>
      </c>
      <c r="BB674" s="37"/>
      <c r="BC674" s="37"/>
      <c r="BD674" s="37"/>
      <c r="BE674" s="37"/>
      <c r="BF674" s="37"/>
      <c r="BG674" s="3" t="s">
        <v>1435</v>
      </c>
      <c r="BH674" s="37"/>
      <c r="BI674" s="37"/>
      <c r="BJ674" s="37"/>
      <c r="BK674" s="37"/>
      <c r="BL674" s="37"/>
      <c r="BM674" s="37"/>
      <c r="BN674" s="37"/>
      <c r="BO674" s="37"/>
      <c r="BP674" s="491" t="s">
        <v>1436</v>
      </c>
      <c r="BQ674" s="492" t="s">
        <v>1406</v>
      </c>
      <c r="BR674" s="492" t="s">
        <v>1400</v>
      </c>
      <c r="BS674" s="492" t="s">
        <v>1401</v>
      </c>
      <c r="BT674" s="492" t="s">
        <v>1402</v>
      </c>
      <c r="BU674" s="492" t="s">
        <v>1409</v>
      </c>
      <c r="BV674" s="492" t="s">
        <v>1404</v>
      </c>
      <c r="BX674" s="37"/>
      <c r="BY674" s="37"/>
      <c r="BZ674" s="37"/>
      <c r="CA674" s="37"/>
      <c r="CB674" s="37"/>
      <c r="CC674" s="37"/>
      <c r="CD674" s="37"/>
      <c r="CE674" s="37"/>
      <c r="CF674" s="37"/>
      <c r="CG674" s="37"/>
      <c r="CH674" s="37"/>
      <c r="CI674" s="37"/>
      <c r="CJ674" s="37"/>
      <c r="CK674" s="37"/>
      <c r="CL674" s="37"/>
      <c r="CM674" s="37"/>
      <c r="CN674" s="37"/>
      <c r="CO674" s="37"/>
      <c r="CP674" s="37"/>
      <c r="CQ674" s="37"/>
    </row>
    <row r="675" spans="1:95" ht="13.35" customHeight="1">
      <c r="B675" t="s">
        <v>1045</v>
      </c>
      <c r="G675" s="1044"/>
      <c r="H675" s="1044"/>
      <c r="I675" s="1044"/>
      <c r="J675" s="1044"/>
      <c r="K675" s="1044"/>
      <c r="L675" s="1044"/>
      <c r="M675" s="1044"/>
      <c r="N675" s="1044"/>
      <c r="O675" s="1044"/>
      <c r="P675" s="1044"/>
      <c r="Q675" s="1044"/>
      <c r="R675" s="1044"/>
      <c r="T675" s="4"/>
      <c r="U675" t="s">
        <v>1045</v>
      </c>
      <c r="Z675" s="1044"/>
      <c r="AA675" s="1044"/>
      <c r="AB675" s="1044"/>
      <c r="AC675" s="1044"/>
      <c r="AD675" s="1044"/>
      <c r="AE675" s="1044"/>
      <c r="AF675" s="1044"/>
      <c r="AG675" s="1044"/>
      <c r="AH675" s="1044"/>
      <c r="AI675" s="1044"/>
      <c r="AJ675" s="1044"/>
      <c r="AK675" s="1044"/>
      <c r="AM675" s="37"/>
      <c r="BA675" s="37">
        <f>IF($G692=0,"N/A",VLOOKUP($T$189,TC_Rent,(MATCH($B692,bedrooms,FALSE))))</f>
        <v>2084</v>
      </c>
      <c r="BB675" s="37"/>
      <c r="BC675" s="37"/>
      <c r="BD675" s="37"/>
      <c r="BE675" s="37"/>
      <c r="BF675" s="37"/>
      <c r="BG675" s="379" t="s">
        <v>1437</v>
      </c>
      <c r="BH675" s="388" t="s">
        <v>1438</v>
      </c>
      <c r="BI675" s="387" t="s">
        <v>1439</v>
      </c>
      <c r="BJ675" s="380"/>
      <c r="BK675" s="37"/>
      <c r="BL675" s="37"/>
      <c r="BM675" s="37"/>
      <c r="BN675" s="37"/>
      <c r="BO675" s="37"/>
      <c r="BP675" s="493" t="s">
        <v>807</v>
      </c>
      <c r="BQ675" s="494">
        <v>2500</v>
      </c>
      <c r="BR675" s="494">
        <v>2678</v>
      </c>
      <c r="BS675" s="494">
        <v>3214</v>
      </c>
      <c r="BT675" s="494">
        <v>3712</v>
      </c>
      <c r="BU675" s="494">
        <v>4142</v>
      </c>
      <c r="BV675" s="494">
        <v>4570</v>
      </c>
      <c r="BX675" s="37"/>
      <c r="BY675" s="37"/>
      <c r="BZ675" s="37"/>
      <c r="CA675" s="37"/>
      <c r="CB675" s="37"/>
      <c r="CC675" s="37"/>
      <c r="CD675" s="37"/>
      <c r="CE675" s="37"/>
      <c r="CF675" s="37"/>
      <c r="CG675" s="37"/>
      <c r="CH675" s="37"/>
      <c r="CI675" s="37"/>
      <c r="CJ675" s="37"/>
      <c r="CK675" s="37"/>
      <c r="CL675" s="37"/>
      <c r="CM675" s="37"/>
      <c r="CN675" s="37"/>
      <c r="CO675" s="37"/>
      <c r="CP675" s="37"/>
      <c r="CQ675" s="37"/>
    </row>
    <row r="676" spans="1:95" ht="13.35" customHeight="1">
      <c r="B676" t="s">
        <v>907</v>
      </c>
      <c r="G676" s="1044"/>
      <c r="H676" s="1044"/>
      <c r="I676" s="1044"/>
      <c r="J676" s="1044"/>
      <c r="K676" s="1044"/>
      <c r="L676" s="1044"/>
      <c r="M676" s="1044"/>
      <c r="N676" s="1044"/>
      <c r="O676" s="1044"/>
      <c r="P676" s="1044"/>
      <c r="Q676" s="1044"/>
      <c r="R676" s="1044"/>
      <c r="U676" t="s">
        <v>907</v>
      </c>
      <c r="Z676" s="1045"/>
      <c r="AA676" s="1045"/>
      <c r="AB676" s="1045"/>
      <c r="AC676" s="1045"/>
      <c r="AD676" s="1045"/>
      <c r="AE676" s="1045"/>
      <c r="AF676" s="1045"/>
      <c r="AG676" s="1045"/>
      <c r="AH676" s="1045"/>
      <c r="AI676" s="1045"/>
      <c r="AJ676" s="1045"/>
      <c r="AK676" s="1045"/>
      <c r="AM676" s="37"/>
      <c r="BA676" s="37">
        <f t="shared" ref="BA676:BA699" si="24">IF($G693=0,"N/A",VLOOKUP($T$189,TC_Rent,(MATCH($B693,bedrooms,FALSE))))</f>
        <v>2084</v>
      </c>
      <c r="BB676" s="37"/>
      <c r="BC676" s="37"/>
      <c r="BD676" s="37"/>
      <c r="BE676" s="37"/>
      <c r="BF676" s="37"/>
      <c r="BG676" s="883">
        <f>G692</f>
        <v>22</v>
      </c>
      <c r="BH676" s="884">
        <f>BG676/$BG$701</f>
        <v>0.51162790697674421</v>
      </c>
      <c r="BI676" s="885">
        <f>IF(BH676=0," ",BH676*AH692)</f>
        <v>0.15348837209302327</v>
      </c>
      <c r="BJ676" s="37"/>
      <c r="BK676" s="37"/>
      <c r="BL676" s="37"/>
      <c r="BM676" s="37"/>
      <c r="BN676" s="37"/>
      <c r="BO676" s="37"/>
      <c r="BP676" s="495" t="s">
        <v>811</v>
      </c>
      <c r="BQ676" s="494">
        <v>1590</v>
      </c>
      <c r="BR676" s="494">
        <v>1702</v>
      </c>
      <c r="BS676" s="494">
        <v>2044</v>
      </c>
      <c r="BT676" s="494">
        <v>2360</v>
      </c>
      <c r="BU676" s="494">
        <v>2634</v>
      </c>
      <c r="BV676" s="494">
        <v>2906</v>
      </c>
      <c r="BX676" s="37"/>
      <c r="BY676" s="37"/>
      <c r="BZ676" s="37"/>
      <c r="CA676" s="37"/>
      <c r="CB676" s="37"/>
      <c r="CC676" s="37"/>
      <c r="CD676" s="37"/>
      <c r="CE676" s="37"/>
      <c r="CF676" s="37"/>
      <c r="CG676" s="37"/>
      <c r="CH676" s="37"/>
      <c r="CI676" s="37"/>
      <c r="CJ676" s="37"/>
      <c r="CK676" s="37"/>
      <c r="CL676" s="37"/>
      <c r="CM676" s="37"/>
      <c r="CN676" s="37"/>
      <c r="CO676" s="37"/>
      <c r="CP676" s="37"/>
      <c r="CQ676" s="37"/>
    </row>
    <row r="677" spans="1:95" ht="13.35" customHeight="1">
      <c r="B677" t="s">
        <v>1390</v>
      </c>
      <c r="G677" s="1044"/>
      <c r="H677" s="1044"/>
      <c r="I677" s="1044"/>
      <c r="J677" s="1044"/>
      <c r="K677" s="1044"/>
      <c r="L677" s="1044"/>
      <c r="M677" s="1044"/>
      <c r="N677" s="1044"/>
      <c r="O677" s="1044"/>
      <c r="P677" s="1044"/>
      <c r="Q677" s="1044"/>
      <c r="R677" s="1044"/>
      <c r="U677" t="s">
        <v>1390</v>
      </c>
      <c r="Z677" s="1045"/>
      <c r="AA677" s="1045"/>
      <c r="AB677" s="1045"/>
      <c r="AC677" s="1045"/>
      <c r="AD677" s="1045"/>
      <c r="AE677" s="1045"/>
      <c r="AF677" s="1045"/>
      <c r="AG677" s="1045"/>
      <c r="AH677" s="1045"/>
      <c r="AI677" s="1045"/>
      <c r="AJ677" s="1045"/>
      <c r="AK677" s="1045"/>
      <c r="AM677" s="37"/>
      <c r="BA677" s="37" t="str">
        <f t="shared" si="24"/>
        <v>N/A</v>
      </c>
      <c r="BB677" s="37"/>
      <c r="BC677" s="37"/>
      <c r="BD677" s="37"/>
      <c r="BE677" s="37"/>
      <c r="BF677" s="37"/>
      <c r="BG677" s="886">
        <f t="shared" ref="BG677:BG700" si="25">G693</f>
        <v>21</v>
      </c>
      <c r="BH677" s="884">
        <f t="shared" ref="BH677:BH700" si="26">BG677/$BG$701</f>
        <v>0.48837209302325579</v>
      </c>
      <c r="BI677" s="885">
        <f t="shared" ref="BI677:BI700" si="27">IF(BH677=0," ",BH677*AH693)</f>
        <v>0.2441860465116279</v>
      </c>
      <c r="BJ677" s="37"/>
      <c r="BK677" s="37"/>
      <c r="BL677" s="37"/>
      <c r="BM677" s="37"/>
      <c r="BN677" s="37"/>
      <c r="BO677" s="37"/>
      <c r="BP677" s="495" t="s">
        <v>815</v>
      </c>
      <c r="BQ677" s="494">
        <v>1516</v>
      </c>
      <c r="BR677" s="494">
        <v>1624</v>
      </c>
      <c r="BS677" s="494">
        <v>1950</v>
      </c>
      <c r="BT677" s="494">
        <v>2252</v>
      </c>
      <c r="BU677" s="494">
        <v>2512</v>
      </c>
      <c r="BV677" s="494">
        <v>2772</v>
      </c>
      <c r="BX677" s="37"/>
      <c r="BY677" s="37"/>
      <c r="BZ677" s="37"/>
      <c r="CA677" s="37"/>
      <c r="CB677" s="37"/>
      <c r="CC677" s="37"/>
      <c r="CD677" s="37"/>
      <c r="CE677" s="37"/>
      <c r="CF677" s="37"/>
      <c r="CG677" s="37"/>
      <c r="CH677" s="37"/>
      <c r="CI677" s="37"/>
      <c r="CJ677" s="37"/>
      <c r="CK677" s="37"/>
      <c r="CL677" s="37"/>
      <c r="CM677" s="37"/>
      <c r="CN677" s="37"/>
      <c r="CO677" s="37"/>
      <c r="CP677" s="37"/>
      <c r="CQ677" s="37"/>
    </row>
    <row r="678" spans="1:95" ht="13.35" customHeight="1">
      <c r="B678" t="s">
        <v>823</v>
      </c>
      <c r="G678" s="1068"/>
      <c r="H678" s="1068"/>
      <c r="I678" s="1068"/>
      <c r="J678" s="1068"/>
      <c r="K678" s="1068"/>
      <c r="L678" s="1068"/>
      <c r="O678" s="827" t="s">
        <v>1054</v>
      </c>
      <c r="P678" s="1093"/>
      <c r="Q678" s="1093"/>
      <c r="R678" s="1093"/>
      <c r="U678" t="s">
        <v>823</v>
      </c>
      <c r="Z678" s="1068"/>
      <c r="AA678" s="1068"/>
      <c r="AB678" s="1068"/>
      <c r="AC678" s="1068"/>
      <c r="AD678" s="1068"/>
      <c r="AE678" s="1068"/>
      <c r="AH678" s="827" t="s">
        <v>1054</v>
      </c>
      <c r="AI678" s="1093"/>
      <c r="AJ678" s="1093"/>
      <c r="AK678" s="1093"/>
      <c r="AM678" s="37"/>
      <c r="BA678" s="37" t="str">
        <f t="shared" si="24"/>
        <v>N/A</v>
      </c>
      <c r="BB678" s="37"/>
      <c r="BC678" s="37"/>
      <c r="BD678" s="37"/>
      <c r="BE678" s="37"/>
      <c r="BF678" s="37"/>
      <c r="BG678" s="886">
        <f t="shared" si="25"/>
        <v>0</v>
      </c>
      <c r="BH678" s="884">
        <f t="shared" si="26"/>
        <v>0</v>
      </c>
      <c r="BI678" s="885" t="str">
        <f t="shared" si="27"/>
        <v xml:space="preserve"> </v>
      </c>
      <c r="BJ678" s="37"/>
      <c r="BK678" s="37"/>
      <c r="BL678" s="37"/>
      <c r="BM678" s="37"/>
      <c r="BN678" s="37"/>
      <c r="BO678" s="37"/>
      <c r="BP678" s="495" t="s">
        <v>819</v>
      </c>
      <c r="BQ678" s="494">
        <v>1364</v>
      </c>
      <c r="BR678" s="494">
        <v>1462</v>
      </c>
      <c r="BS678" s="494">
        <v>1754</v>
      </c>
      <c r="BT678" s="494">
        <v>2026</v>
      </c>
      <c r="BU678" s="494">
        <v>2260</v>
      </c>
      <c r="BV678" s="494">
        <v>2492</v>
      </c>
      <c r="BX678" s="37"/>
      <c r="BY678" s="37"/>
      <c r="BZ678" s="37"/>
      <c r="CA678" s="37"/>
      <c r="CB678" s="37"/>
      <c r="CC678" s="37"/>
      <c r="CD678" s="37"/>
      <c r="CE678" s="37"/>
      <c r="CF678" s="37"/>
      <c r="CG678" s="37"/>
      <c r="CH678" s="37"/>
      <c r="CI678" s="37"/>
      <c r="CJ678" s="37"/>
      <c r="CK678" s="37"/>
      <c r="CL678" s="37"/>
      <c r="CM678" s="37"/>
      <c r="CN678" s="37"/>
      <c r="CO678" s="37"/>
      <c r="CP678" s="37"/>
      <c r="CQ678" s="37"/>
    </row>
    <row r="679" spans="1:95" ht="13.35" customHeight="1">
      <c r="B679" t="s">
        <v>1393</v>
      </c>
      <c r="H679" s="1044"/>
      <c r="I679" s="1044"/>
      <c r="J679" s="1044"/>
      <c r="K679" s="1044"/>
      <c r="L679" s="1044"/>
      <c r="M679" s="1044"/>
      <c r="N679" s="1044"/>
      <c r="O679" s="1044"/>
      <c r="P679" s="1044"/>
      <c r="Q679" s="1044"/>
      <c r="R679" s="1044"/>
      <c r="U679" t="s">
        <v>1393</v>
      </c>
      <c r="AA679" s="1044"/>
      <c r="AB679" s="1044"/>
      <c r="AC679" s="1044"/>
      <c r="AD679" s="1044"/>
      <c r="AE679" s="1044"/>
      <c r="AF679" s="1044"/>
      <c r="AG679" s="1044"/>
      <c r="AH679" s="1044"/>
      <c r="AI679" s="1044"/>
      <c r="AJ679" s="1044"/>
      <c r="AK679" s="1044"/>
      <c r="AM679" s="37"/>
      <c r="BA679" s="37" t="str">
        <f t="shared" si="24"/>
        <v>N/A</v>
      </c>
      <c r="BB679" s="37"/>
      <c r="BC679" s="37"/>
      <c r="BD679" s="37"/>
      <c r="BE679" s="37"/>
      <c r="BF679" s="37"/>
      <c r="BG679" s="886">
        <f t="shared" si="25"/>
        <v>0</v>
      </c>
      <c r="BH679" s="884">
        <f t="shared" si="26"/>
        <v>0</v>
      </c>
      <c r="BI679" s="885" t="str">
        <f t="shared" si="27"/>
        <v xml:space="preserve"> </v>
      </c>
      <c r="BJ679" s="37"/>
      <c r="BK679" s="37"/>
      <c r="BL679" s="37"/>
      <c r="BM679" s="37"/>
      <c r="BN679" s="37"/>
      <c r="BO679" s="37"/>
      <c r="BP679" s="495" t="s">
        <v>822</v>
      </c>
      <c r="BQ679" s="494">
        <v>1574</v>
      </c>
      <c r="BR679" s="494">
        <v>1686</v>
      </c>
      <c r="BS679" s="494">
        <v>2024</v>
      </c>
      <c r="BT679" s="494">
        <v>2340</v>
      </c>
      <c r="BU679" s="494">
        <v>2610</v>
      </c>
      <c r="BV679" s="494">
        <v>2880</v>
      </c>
      <c r="BX679" s="37"/>
      <c r="BY679" s="37"/>
      <c r="BZ679" s="37"/>
      <c r="CA679" s="37"/>
      <c r="CB679" s="37"/>
      <c r="CC679" s="37"/>
      <c r="CD679" s="37"/>
      <c r="CE679" s="37"/>
      <c r="CF679" s="37"/>
      <c r="CG679" s="37"/>
      <c r="CH679" s="37"/>
      <c r="CI679" s="37"/>
      <c r="CJ679" s="37"/>
      <c r="CK679" s="37"/>
      <c r="CL679" s="37"/>
      <c r="CM679" s="37"/>
      <c r="CN679" s="37"/>
      <c r="CO679" s="37"/>
      <c r="CP679" s="37"/>
      <c r="CQ679" s="37"/>
    </row>
    <row r="680" spans="1:95" ht="13.35" customHeight="1">
      <c r="B680" t="s">
        <v>1395</v>
      </c>
      <c r="N680" s="1069" t="s">
        <v>712</v>
      </c>
      <c r="O680" s="1069"/>
      <c r="U680" t="s">
        <v>1395</v>
      </c>
      <c r="AG680" s="1069" t="s">
        <v>712</v>
      </c>
      <c r="AH680" s="1069"/>
      <c r="AM680" s="37"/>
      <c r="BA680" s="37" t="str">
        <f t="shared" si="24"/>
        <v>N/A</v>
      </c>
      <c r="BB680" s="37"/>
      <c r="BC680" s="37"/>
      <c r="BD680" s="37"/>
      <c r="BE680" s="37"/>
      <c r="BF680" s="37"/>
      <c r="BG680" s="886">
        <f t="shared" si="25"/>
        <v>0</v>
      </c>
      <c r="BH680" s="884">
        <f t="shared" si="26"/>
        <v>0</v>
      </c>
      <c r="BI680" s="885" t="str">
        <f t="shared" si="27"/>
        <v xml:space="preserve"> </v>
      </c>
      <c r="BJ680" s="37"/>
      <c r="BK680" s="37"/>
      <c r="BL680" s="37"/>
      <c r="BM680" s="37"/>
      <c r="BN680" s="37"/>
      <c r="BO680" s="37"/>
      <c r="BP680" s="495" t="s">
        <v>828</v>
      </c>
      <c r="BQ680" s="494">
        <v>1364</v>
      </c>
      <c r="BR680" s="494">
        <v>1462</v>
      </c>
      <c r="BS680" s="494">
        <v>1754</v>
      </c>
      <c r="BT680" s="494">
        <v>2026</v>
      </c>
      <c r="BU680" s="494">
        <v>2260</v>
      </c>
      <c r="BV680" s="494">
        <v>2492</v>
      </c>
      <c r="BX680" s="37"/>
      <c r="BY680" s="37"/>
      <c r="BZ680" s="37"/>
      <c r="CA680" s="37"/>
      <c r="CB680" s="37"/>
      <c r="CC680" s="37"/>
      <c r="CD680" s="37"/>
      <c r="CE680" s="37"/>
      <c r="CF680" s="37"/>
      <c r="CG680" s="37"/>
      <c r="CH680" s="37"/>
      <c r="CI680" s="37"/>
      <c r="CJ680" s="37"/>
      <c r="CK680" s="37"/>
      <c r="CL680" s="37"/>
      <c r="CM680" s="37"/>
      <c r="CN680" s="37"/>
      <c r="CO680" s="37"/>
      <c r="CP680" s="37"/>
      <c r="CQ680" s="37"/>
    </row>
    <row r="681" spans="1:95" ht="13.35" customHeight="1">
      <c r="N681" s="1"/>
      <c r="O681" s="1"/>
      <c r="AG681" s="1"/>
      <c r="AH681" s="1"/>
      <c r="AM681" s="37"/>
      <c r="BA681" s="37" t="str">
        <f t="shared" si="24"/>
        <v>N/A</v>
      </c>
      <c r="BB681" s="37"/>
      <c r="BC681" s="37"/>
      <c r="BD681" s="37"/>
      <c r="BE681" s="37"/>
      <c r="BF681" s="37"/>
      <c r="BG681" s="886">
        <f t="shared" si="25"/>
        <v>0</v>
      </c>
      <c r="BH681" s="884">
        <f t="shared" si="26"/>
        <v>0</v>
      </c>
      <c r="BI681" s="885" t="str">
        <f t="shared" si="27"/>
        <v xml:space="preserve"> </v>
      </c>
      <c r="BJ681" s="37"/>
      <c r="BK681" s="37"/>
      <c r="BL681" s="37"/>
      <c r="BM681" s="37"/>
      <c r="BN681" s="37"/>
      <c r="BO681" s="37"/>
      <c r="BP681" s="495" t="s">
        <v>832</v>
      </c>
      <c r="BQ681" s="494">
        <v>2500</v>
      </c>
      <c r="BR681" s="494">
        <v>2678</v>
      </c>
      <c r="BS681" s="494">
        <v>3214</v>
      </c>
      <c r="BT681" s="494">
        <v>3712</v>
      </c>
      <c r="BU681" s="494">
        <v>4142</v>
      </c>
      <c r="BV681" s="494">
        <v>4570</v>
      </c>
      <c r="BX681" s="37"/>
      <c r="BY681" s="37"/>
      <c r="BZ681" s="37"/>
      <c r="CA681" s="37"/>
      <c r="CB681" s="37"/>
      <c r="CC681" s="37"/>
      <c r="CD681" s="37"/>
      <c r="CE681" s="37"/>
      <c r="CF681" s="37"/>
      <c r="CG681" s="37"/>
      <c r="CH681" s="37"/>
      <c r="CI681" s="37"/>
      <c r="CJ681" s="37"/>
      <c r="CK681" s="37"/>
      <c r="CL681" s="37"/>
      <c r="CM681" s="37"/>
      <c r="CN681" s="37"/>
      <c r="CO681" s="37"/>
      <c r="CP681" s="37"/>
      <c r="CQ681" s="37"/>
    </row>
    <row r="682" spans="1:95" ht="13.35" customHeight="1">
      <c r="AM682" s="37"/>
      <c r="BA682" s="37" t="str">
        <f t="shared" si="24"/>
        <v>N/A</v>
      </c>
      <c r="BB682" s="37"/>
      <c r="BC682" s="37"/>
      <c r="BD682" s="37"/>
      <c r="BE682" s="37"/>
      <c r="BF682" s="37"/>
      <c r="BG682" s="886">
        <f t="shared" si="25"/>
        <v>0</v>
      </c>
      <c r="BH682" s="884">
        <f t="shared" si="26"/>
        <v>0</v>
      </c>
      <c r="BI682" s="885" t="str">
        <f t="shared" si="27"/>
        <v xml:space="preserve"> </v>
      </c>
      <c r="BJ682" s="37"/>
      <c r="BK682" s="37"/>
      <c r="BL682" s="37"/>
      <c r="BM682" s="37"/>
      <c r="BN682" s="37"/>
      <c r="BO682" s="37"/>
      <c r="BP682" s="495" t="s">
        <v>836</v>
      </c>
      <c r="BQ682" s="494">
        <v>1364</v>
      </c>
      <c r="BR682" s="494">
        <v>1462</v>
      </c>
      <c r="BS682" s="494">
        <v>1754</v>
      </c>
      <c r="BT682" s="494">
        <v>2026</v>
      </c>
      <c r="BU682" s="494">
        <v>2260</v>
      </c>
      <c r="BV682" s="494">
        <v>2492</v>
      </c>
      <c r="BX682" s="37"/>
      <c r="BY682" s="37"/>
      <c r="BZ682" s="37"/>
      <c r="CA682" s="37"/>
      <c r="CB682" s="37"/>
      <c r="CC682" s="37"/>
      <c r="CD682" s="37"/>
      <c r="CE682" s="37"/>
      <c r="CF682" s="37"/>
      <c r="CG682" s="37"/>
      <c r="CH682" s="37"/>
      <c r="CI682" s="37"/>
      <c r="CJ682" s="37"/>
      <c r="CK682" s="37"/>
      <c r="CL682" s="37"/>
      <c r="CM682" s="37"/>
      <c r="CN682" s="37"/>
      <c r="CO682" s="37"/>
      <c r="CP682" s="37"/>
      <c r="CQ682" s="37"/>
    </row>
    <row r="683" spans="1:95" ht="13.35" customHeight="1">
      <c r="A683" s="1103" t="s">
        <v>1440</v>
      </c>
      <c r="B683" s="1103"/>
      <c r="C683" s="1103"/>
      <c r="D683" s="1103"/>
      <c r="E683" s="1103"/>
      <c r="F683" s="1103"/>
      <c r="G683" s="1103"/>
      <c r="H683" s="1103"/>
      <c r="I683" s="1103"/>
      <c r="J683" s="1103"/>
      <c r="K683" s="1103"/>
      <c r="L683" s="1103"/>
      <c r="M683" s="1103"/>
      <c r="N683" s="1103"/>
      <c r="O683" s="1103"/>
      <c r="P683" s="1103"/>
      <c r="Q683" s="1103"/>
      <c r="R683" s="1103"/>
      <c r="S683" s="1103"/>
      <c r="T683" s="1103"/>
      <c r="U683" s="1103"/>
      <c r="V683" s="1103"/>
      <c r="W683" s="1103"/>
      <c r="X683" s="1103"/>
      <c r="Y683" s="1103"/>
      <c r="Z683" s="1103"/>
      <c r="AA683" s="1103"/>
      <c r="AB683" s="1103"/>
      <c r="AC683" s="1103"/>
      <c r="AD683" s="1103"/>
      <c r="AE683" s="1103"/>
      <c r="AF683" s="1103"/>
      <c r="AG683" s="1103"/>
      <c r="AH683" s="1103"/>
      <c r="AI683" s="1103"/>
      <c r="AJ683" s="1103"/>
      <c r="AK683" s="1103"/>
      <c r="AL683" s="1103"/>
      <c r="AM683" s="1103"/>
      <c r="AN683" s="1103"/>
      <c r="AO683" s="1103"/>
      <c r="AP683" s="1103"/>
      <c r="AQ683" s="1103"/>
      <c r="AR683" s="1103"/>
      <c r="AS683" s="1103"/>
      <c r="BA683" s="37" t="str">
        <f t="shared" si="24"/>
        <v>N/A</v>
      </c>
      <c r="BB683" s="37"/>
      <c r="BC683" s="37"/>
      <c r="BD683" s="37"/>
      <c r="BE683" s="37"/>
      <c r="BF683" s="37"/>
      <c r="BG683" s="886">
        <f t="shared" si="25"/>
        <v>0</v>
      </c>
      <c r="BH683" s="884">
        <f t="shared" si="26"/>
        <v>0</v>
      </c>
      <c r="BI683" s="885" t="str">
        <f t="shared" si="27"/>
        <v xml:space="preserve"> </v>
      </c>
      <c r="BJ683" s="37"/>
      <c r="BK683" s="37"/>
      <c r="BL683" s="37"/>
      <c r="BM683" s="37"/>
      <c r="BN683" s="37"/>
      <c r="BO683" s="37"/>
      <c r="BP683" s="495" t="s">
        <v>838</v>
      </c>
      <c r="BQ683" s="494">
        <v>1774</v>
      </c>
      <c r="BR683" s="494">
        <v>1900</v>
      </c>
      <c r="BS683" s="494">
        <v>2280</v>
      </c>
      <c r="BT683" s="494">
        <v>2634</v>
      </c>
      <c r="BU683" s="494">
        <v>2940</v>
      </c>
      <c r="BV683" s="494">
        <v>3242</v>
      </c>
      <c r="BX683" s="37"/>
      <c r="BY683" s="37"/>
      <c r="BZ683" s="37"/>
      <c r="CA683" s="37"/>
      <c r="CB683" s="37"/>
      <c r="CC683" s="37"/>
      <c r="CD683" s="37"/>
      <c r="CE683" s="37"/>
      <c r="CF683" s="37"/>
      <c r="CG683" s="37"/>
      <c r="CH683" s="37"/>
      <c r="CI683" s="37"/>
      <c r="CJ683" s="37"/>
      <c r="CK683" s="37"/>
      <c r="CL683" s="37"/>
      <c r="CM683" s="37"/>
      <c r="CN683" s="37"/>
      <c r="CO683" s="37"/>
      <c r="CP683" s="37"/>
      <c r="CQ683" s="37"/>
    </row>
    <row r="684" spans="1:95" ht="13.35" customHeight="1">
      <c r="A684" s="1103"/>
      <c r="B684" s="1103"/>
      <c r="C684" s="1103"/>
      <c r="D684" s="1103"/>
      <c r="E684" s="1103"/>
      <c r="F684" s="1103"/>
      <c r="G684" s="1103"/>
      <c r="H684" s="1103"/>
      <c r="I684" s="1103"/>
      <c r="J684" s="1103"/>
      <c r="K684" s="1103"/>
      <c r="L684" s="1103"/>
      <c r="M684" s="1103"/>
      <c r="N684" s="1103"/>
      <c r="O684" s="1103"/>
      <c r="P684" s="1103"/>
      <c r="Q684" s="1103"/>
      <c r="R684" s="1103"/>
      <c r="S684" s="1103"/>
      <c r="T684" s="1103"/>
      <c r="U684" s="1103"/>
      <c r="V684" s="1103"/>
      <c r="W684" s="1103"/>
      <c r="X684" s="1103"/>
      <c r="Y684" s="1103"/>
      <c r="Z684" s="1103"/>
      <c r="AA684" s="1103"/>
      <c r="AB684" s="1103"/>
      <c r="AC684" s="1103"/>
      <c r="AD684" s="1103"/>
      <c r="AE684" s="1103"/>
      <c r="AF684" s="1103"/>
      <c r="AG684" s="1103"/>
      <c r="AH684" s="1103"/>
      <c r="AI684" s="1103"/>
      <c r="AJ684" s="1103"/>
      <c r="AK684" s="1103"/>
      <c r="AL684" s="1103"/>
      <c r="AM684" s="1103"/>
      <c r="AN684" s="1103"/>
      <c r="AO684" s="1103"/>
      <c r="AP684" s="1103"/>
      <c r="AQ684" s="1103"/>
      <c r="AR684" s="1103"/>
      <c r="AS684" s="1103"/>
      <c r="BA684" s="37" t="str">
        <f t="shared" si="24"/>
        <v>N/A</v>
      </c>
      <c r="BE684" s="37"/>
      <c r="BF684" s="37"/>
      <c r="BG684" s="886">
        <f t="shared" si="25"/>
        <v>0</v>
      </c>
      <c r="BH684" s="884">
        <f t="shared" si="26"/>
        <v>0</v>
      </c>
      <c r="BI684" s="885" t="str">
        <f t="shared" si="27"/>
        <v xml:space="preserve"> </v>
      </c>
      <c r="BJ684" s="37"/>
      <c r="BK684" s="37"/>
      <c r="BL684" s="37"/>
      <c r="BM684" s="37"/>
      <c r="BN684" s="37"/>
      <c r="BO684" s="37"/>
      <c r="BP684" s="495" t="s">
        <v>841</v>
      </c>
      <c r="BQ684" s="494">
        <v>1364</v>
      </c>
      <c r="BR684" s="494">
        <v>1462</v>
      </c>
      <c r="BS684" s="494">
        <v>1754</v>
      </c>
      <c r="BT684" s="494">
        <v>2026</v>
      </c>
      <c r="BU684" s="494">
        <v>2260</v>
      </c>
      <c r="BV684" s="494">
        <v>2492</v>
      </c>
      <c r="BX684" s="37"/>
      <c r="BY684" s="37"/>
      <c r="BZ684" s="37"/>
      <c r="CA684" s="37"/>
      <c r="CB684" s="37"/>
      <c r="CC684" s="37"/>
      <c r="CD684" s="37"/>
      <c r="CE684" s="37"/>
      <c r="CF684" s="37"/>
      <c r="CG684" s="37"/>
      <c r="CH684" s="37"/>
      <c r="CI684" s="37"/>
      <c r="CJ684" s="37"/>
      <c r="CK684" s="37"/>
      <c r="CL684" s="37"/>
      <c r="CM684" s="37"/>
      <c r="CN684" s="37"/>
      <c r="CO684" s="37"/>
      <c r="CP684" s="37"/>
      <c r="CQ684" s="37"/>
    </row>
    <row r="685" spans="1:95" ht="13.35" customHeight="1">
      <c r="A685" s="1103"/>
      <c r="B685" s="1103"/>
      <c r="C685" s="1103"/>
      <c r="D685" s="1103"/>
      <c r="E685" s="1103"/>
      <c r="F685" s="1103"/>
      <c r="G685" s="1103"/>
      <c r="H685" s="1103"/>
      <c r="I685" s="1103"/>
      <c r="J685" s="1103"/>
      <c r="K685" s="1103"/>
      <c r="L685" s="1103"/>
      <c r="M685" s="1103"/>
      <c r="N685" s="1103"/>
      <c r="O685" s="1103"/>
      <c r="P685" s="1103"/>
      <c r="Q685" s="1103"/>
      <c r="R685" s="1103"/>
      <c r="S685" s="1103"/>
      <c r="T685" s="1103"/>
      <c r="U685" s="1103"/>
      <c r="V685" s="1103"/>
      <c r="W685" s="1103"/>
      <c r="X685" s="1103"/>
      <c r="Y685" s="1103"/>
      <c r="Z685" s="1103"/>
      <c r="AA685" s="1103"/>
      <c r="AB685" s="1103"/>
      <c r="AC685" s="1103"/>
      <c r="AD685" s="1103"/>
      <c r="AE685" s="1103"/>
      <c r="AF685" s="1103"/>
      <c r="AG685" s="1103"/>
      <c r="AH685" s="1103"/>
      <c r="AI685" s="1103"/>
      <c r="AJ685" s="1103"/>
      <c r="AK685" s="1103"/>
      <c r="AL685" s="1103"/>
      <c r="AM685" s="1103"/>
      <c r="AN685" s="1103"/>
      <c r="AO685" s="1103"/>
      <c r="AP685" s="1103"/>
      <c r="AQ685" s="1103"/>
      <c r="AR685" s="1103"/>
      <c r="AS685" s="1103"/>
      <c r="BA685" s="37" t="str">
        <f t="shared" si="24"/>
        <v>N/A</v>
      </c>
      <c r="BE685" s="37"/>
      <c r="BF685" s="37"/>
      <c r="BG685" s="886">
        <f t="shared" si="25"/>
        <v>0</v>
      </c>
      <c r="BH685" s="884">
        <f t="shared" si="26"/>
        <v>0</v>
      </c>
      <c r="BI685" s="885" t="str">
        <f t="shared" si="27"/>
        <v xml:space="preserve"> </v>
      </c>
      <c r="BJ685" s="37"/>
      <c r="BK685" s="37"/>
      <c r="BL685" s="37"/>
      <c r="BM685" s="37"/>
      <c r="BN685" s="37"/>
      <c r="BO685" s="37"/>
      <c r="BP685" s="495" t="s">
        <v>844</v>
      </c>
      <c r="BQ685" s="494">
        <v>1364</v>
      </c>
      <c r="BR685" s="494">
        <v>1462</v>
      </c>
      <c r="BS685" s="494">
        <v>1754</v>
      </c>
      <c r="BT685" s="494">
        <v>2026</v>
      </c>
      <c r="BU685" s="494">
        <v>2260</v>
      </c>
      <c r="BV685" s="494">
        <v>2492</v>
      </c>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5" ht="13.35" customHeight="1">
      <c r="A686" s="3" t="s">
        <v>854</v>
      </c>
      <c r="B686" s="3"/>
      <c r="C686" s="3" t="s">
        <v>1441</v>
      </c>
      <c r="BA686" s="37" t="str">
        <f t="shared" si="24"/>
        <v>N/A</v>
      </c>
      <c r="BE686" s="37"/>
      <c r="BF686" s="37"/>
      <c r="BG686" s="886">
        <f t="shared" si="25"/>
        <v>0</v>
      </c>
      <c r="BH686" s="884">
        <f t="shared" si="26"/>
        <v>0</v>
      </c>
      <c r="BI686" s="885" t="str">
        <f t="shared" si="27"/>
        <v xml:space="preserve"> </v>
      </c>
      <c r="BJ686" s="37"/>
      <c r="BK686" s="37"/>
      <c r="BL686" s="37"/>
      <c r="BM686" s="37"/>
      <c r="BN686" s="37"/>
      <c r="BO686" s="37"/>
      <c r="BP686" s="495" t="s">
        <v>846</v>
      </c>
      <c r="BQ686" s="494">
        <v>1364</v>
      </c>
      <c r="BR686" s="494">
        <v>1462</v>
      </c>
      <c r="BS686" s="494">
        <v>1754</v>
      </c>
      <c r="BT686" s="494">
        <v>2026</v>
      </c>
      <c r="BU686" s="494">
        <v>2260</v>
      </c>
      <c r="BV686" s="494">
        <v>2492</v>
      </c>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5" ht="13.35" customHeight="1">
      <c r="A687" s="3"/>
      <c r="B687" s="747"/>
      <c r="C687" s="3"/>
      <c r="BA687" s="37" t="str">
        <f t="shared" si="24"/>
        <v>N/A</v>
      </c>
      <c r="BE687" s="37"/>
      <c r="BF687" s="37"/>
      <c r="BG687" s="886">
        <f t="shared" si="25"/>
        <v>0</v>
      </c>
      <c r="BH687" s="884">
        <f t="shared" si="26"/>
        <v>0</v>
      </c>
      <c r="BI687" s="885" t="str">
        <f t="shared" si="27"/>
        <v xml:space="preserve"> </v>
      </c>
      <c r="BJ687" s="37"/>
      <c r="BK687" s="37"/>
      <c r="BL687" s="37"/>
      <c r="BM687" s="37"/>
      <c r="BN687" s="37"/>
      <c r="BO687" s="37"/>
      <c r="BP687" s="495" t="s">
        <v>849</v>
      </c>
      <c r="BQ687" s="494">
        <v>1364</v>
      </c>
      <c r="BR687" s="494">
        <v>1462</v>
      </c>
      <c r="BS687" s="494">
        <v>1754</v>
      </c>
      <c r="BT687" s="494">
        <v>2026</v>
      </c>
      <c r="BU687" s="494">
        <v>2260</v>
      </c>
      <c r="BV687" s="494">
        <v>2492</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5" ht="13.35" customHeight="1">
      <c r="B688" s="1200" t="s">
        <v>1442</v>
      </c>
      <c r="C688" s="1201"/>
      <c r="D688" s="1201"/>
      <c r="E688" s="1201"/>
      <c r="F688" s="1202"/>
      <c r="G688" s="1200" t="s">
        <v>1443</v>
      </c>
      <c r="H688" s="1201"/>
      <c r="I688" s="1201"/>
      <c r="J688" s="1202"/>
      <c r="K688" s="1436" t="s">
        <v>1444</v>
      </c>
      <c r="L688" s="1437"/>
      <c r="M688" s="1437"/>
      <c r="N688" s="1438"/>
      <c r="O688" s="1200" t="s">
        <v>1445</v>
      </c>
      <c r="P688" s="1201"/>
      <c r="Q688" s="1201"/>
      <c r="R688" s="1201"/>
      <c r="S688" s="1202"/>
      <c r="T688" s="1200" t="s">
        <v>1446</v>
      </c>
      <c r="U688" s="1201"/>
      <c r="V688" s="1201"/>
      <c r="W688" s="1201"/>
      <c r="X688" s="1202"/>
      <c r="Y688" s="1200" t="s">
        <v>1447</v>
      </c>
      <c r="Z688" s="1201"/>
      <c r="AA688" s="1201"/>
      <c r="AB688" s="1202"/>
      <c r="AC688" s="1200" t="s">
        <v>1448</v>
      </c>
      <c r="AD688" s="1201"/>
      <c r="AE688" s="1201"/>
      <c r="AF688" s="1201"/>
      <c r="AG688" s="1202"/>
      <c r="AH688" s="1200" t="s">
        <v>1449</v>
      </c>
      <c r="AI688" s="1201"/>
      <c r="AJ688" s="1201"/>
      <c r="AK688" s="1201"/>
      <c r="AL688" s="1202"/>
      <c r="AM688" s="1200" t="s">
        <v>1450</v>
      </c>
      <c r="AN688" s="1201"/>
      <c r="AO688" s="1202"/>
      <c r="BA688" s="37" t="str">
        <f t="shared" si="24"/>
        <v>N/A</v>
      </c>
      <c r="BB688" s="37"/>
      <c r="BC688" s="37"/>
      <c r="BD688" s="37"/>
      <c r="BE688" s="37"/>
      <c r="BF688" s="37"/>
      <c r="BG688" s="886">
        <f t="shared" si="25"/>
        <v>0</v>
      </c>
      <c r="BH688" s="884">
        <f t="shared" si="26"/>
        <v>0</v>
      </c>
      <c r="BI688" s="885" t="str">
        <f t="shared" si="27"/>
        <v xml:space="preserve"> </v>
      </c>
      <c r="BJ688" s="37"/>
      <c r="BK688" s="37"/>
      <c r="BL688" s="37"/>
      <c r="BM688" s="37"/>
      <c r="BN688" s="37"/>
      <c r="BO688" s="37"/>
      <c r="BP688" s="495" t="s">
        <v>851</v>
      </c>
      <c r="BQ688" s="494">
        <v>1446</v>
      </c>
      <c r="BR688" s="494">
        <v>1550</v>
      </c>
      <c r="BS688" s="494">
        <v>1862</v>
      </c>
      <c r="BT688" s="494">
        <v>2150</v>
      </c>
      <c r="BU688" s="494">
        <v>2400</v>
      </c>
      <c r="BV688" s="494">
        <v>2646</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6" ht="13.35" customHeight="1">
      <c r="B689" s="1203"/>
      <c r="C689" s="1204"/>
      <c r="D689" s="1204"/>
      <c r="E689" s="1204"/>
      <c r="F689" s="1205"/>
      <c r="G689" s="1203"/>
      <c r="H689" s="1204"/>
      <c r="I689" s="1204"/>
      <c r="J689" s="1205"/>
      <c r="K689" s="1439"/>
      <c r="L689" s="1440"/>
      <c r="M689" s="1440"/>
      <c r="N689" s="1441"/>
      <c r="O689" s="1203"/>
      <c r="P689" s="1204"/>
      <c r="Q689" s="1204"/>
      <c r="R689" s="1204"/>
      <c r="S689" s="1205"/>
      <c r="T689" s="1203"/>
      <c r="U689" s="1204"/>
      <c r="V689" s="1204"/>
      <c r="W689" s="1204"/>
      <c r="X689" s="1205"/>
      <c r="Y689" s="1203"/>
      <c r="Z689" s="1204"/>
      <c r="AA689" s="1204"/>
      <c r="AB689" s="1205"/>
      <c r="AC689" s="1203"/>
      <c r="AD689" s="1204"/>
      <c r="AE689" s="1204"/>
      <c r="AF689" s="1204"/>
      <c r="AG689" s="1205"/>
      <c r="AH689" s="1203"/>
      <c r="AI689" s="1204"/>
      <c r="AJ689" s="1204"/>
      <c r="AK689" s="1204"/>
      <c r="AL689" s="1205"/>
      <c r="AM689" s="1203"/>
      <c r="AN689" s="1204"/>
      <c r="AO689" s="1205"/>
      <c r="BA689" s="37" t="str">
        <f t="shared" si="24"/>
        <v>N/A</v>
      </c>
      <c r="BB689" s="37"/>
      <c r="BC689" s="37"/>
      <c r="BD689" s="37"/>
      <c r="BE689" s="37"/>
      <c r="BF689" s="37"/>
      <c r="BG689" s="886">
        <f t="shared" si="25"/>
        <v>0</v>
      </c>
      <c r="BH689" s="884">
        <f t="shared" si="26"/>
        <v>0</v>
      </c>
      <c r="BI689" s="885" t="str">
        <f t="shared" si="27"/>
        <v xml:space="preserve"> </v>
      </c>
      <c r="BJ689" s="37"/>
      <c r="BK689" s="37"/>
      <c r="BL689" s="37"/>
      <c r="BM689" s="37"/>
      <c r="BN689" s="37"/>
      <c r="BO689" s="37"/>
      <c r="BP689" s="495" t="s">
        <v>853</v>
      </c>
      <c r="BQ689" s="494">
        <v>1364</v>
      </c>
      <c r="BR689" s="494">
        <v>1462</v>
      </c>
      <c r="BS689" s="494">
        <v>1754</v>
      </c>
      <c r="BT689" s="494">
        <v>2026</v>
      </c>
      <c r="BU689" s="494">
        <v>2260</v>
      </c>
      <c r="BV689" s="494">
        <v>2492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6" ht="13.35" customHeight="1">
      <c r="A690" s="37"/>
      <c r="B690" s="1203"/>
      <c r="C690" s="1204"/>
      <c r="D690" s="1204"/>
      <c r="E690" s="1204"/>
      <c r="F690" s="1205"/>
      <c r="G690" s="1203"/>
      <c r="H690" s="1204"/>
      <c r="I690" s="1204"/>
      <c r="J690" s="1205"/>
      <c r="K690" s="1439"/>
      <c r="L690" s="1440"/>
      <c r="M690" s="1440"/>
      <c r="N690" s="1441"/>
      <c r="O690" s="1203"/>
      <c r="P690" s="1204"/>
      <c r="Q690" s="1204"/>
      <c r="R690" s="1204"/>
      <c r="S690" s="1205"/>
      <c r="T690" s="1203"/>
      <c r="U690" s="1204"/>
      <c r="V690" s="1204"/>
      <c r="W690" s="1204"/>
      <c r="X690" s="1205"/>
      <c r="Y690" s="1203"/>
      <c r="Z690" s="1204"/>
      <c r="AA690" s="1204"/>
      <c r="AB690" s="1205"/>
      <c r="AC690" s="1203"/>
      <c r="AD690" s="1204"/>
      <c r="AE690" s="1204"/>
      <c r="AF690" s="1204"/>
      <c r="AG690" s="1205"/>
      <c r="AH690" s="1203"/>
      <c r="AI690" s="1204"/>
      <c r="AJ690" s="1204"/>
      <c r="AK690" s="1204"/>
      <c r="AL690" s="1205"/>
      <c r="AM690" s="1203"/>
      <c r="AN690" s="1204"/>
      <c r="AO690" s="1205"/>
      <c r="BA690" s="37" t="str">
        <f t="shared" si="24"/>
        <v>N/A</v>
      </c>
      <c r="BB690" s="37"/>
      <c r="BC690" s="37"/>
      <c r="BD690" s="37"/>
      <c r="BE690" s="37"/>
      <c r="BF690" s="37"/>
      <c r="BG690" s="886">
        <f t="shared" si="25"/>
        <v>0</v>
      </c>
      <c r="BH690" s="884">
        <f t="shared" si="26"/>
        <v>0</v>
      </c>
      <c r="BI690" s="885" t="str">
        <f t="shared" si="27"/>
        <v xml:space="preserve"> </v>
      </c>
      <c r="BJ690" s="37"/>
      <c r="BK690" s="37"/>
      <c r="BL690" s="37"/>
      <c r="BM690" s="37"/>
      <c r="BN690" s="37"/>
      <c r="BO690" s="37"/>
      <c r="BP690" s="495" t="s">
        <v>856</v>
      </c>
      <c r="BQ690" s="494">
        <v>1364</v>
      </c>
      <c r="BR690" s="494">
        <v>1462</v>
      </c>
      <c r="BS690" s="494">
        <v>1754</v>
      </c>
      <c r="BT690" s="494">
        <v>2026</v>
      </c>
      <c r="BU690" s="494">
        <v>2260</v>
      </c>
      <c r="BV690" s="494">
        <v>2492</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6" ht="13.35" customHeight="1">
      <c r="A691" s="37"/>
      <c r="B691" s="1206"/>
      <c r="C691" s="1207"/>
      <c r="D691" s="1207"/>
      <c r="E691" s="1207"/>
      <c r="F691" s="1208"/>
      <c r="G691" s="1206"/>
      <c r="H691" s="1207"/>
      <c r="I691" s="1207"/>
      <c r="J691" s="1208"/>
      <c r="K691" s="1439"/>
      <c r="L691" s="1440"/>
      <c r="M691" s="1440"/>
      <c r="N691" s="1441"/>
      <c r="O691" s="1206"/>
      <c r="P691" s="1207"/>
      <c r="Q691" s="1207"/>
      <c r="R691" s="1207"/>
      <c r="S691" s="1208"/>
      <c r="T691" s="1206"/>
      <c r="U691" s="1207"/>
      <c r="V691" s="1207"/>
      <c r="W691" s="1207"/>
      <c r="X691" s="1208"/>
      <c r="Y691" s="1206"/>
      <c r="Z691" s="1207"/>
      <c r="AA691" s="1207"/>
      <c r="AB691" s="1208"/>
      <c r="AC691" s="1206"/>
      <c r="AD691" s="1207"/>
      <c r="AE691" s="1207"/>
      <c r="AF691" s="1207"/>
      <c r="AG691" s="1208"/>
      <c r="AH691" s="1206"/>
      <c r="AI691" s="1207"/>
      <c r="AJ691" s="1207"/>
      <c r="AK691" s="1207"/>
      <c r="AL691" s="1208"/>
      <c r="AM691" s="1206"/>
      <c r="AN691" s="1207"/>
      <c r="AO691" s="1208"/>
      <c r="BA691" s="37" t="str">
        <f t="shared" si="24"/>
        <v>N/A</v>
      </c>
      <c r="BB691" s="37"/>
      <c r="BC691" s="37"/>
      <c r="BD691" s="37"/>
      <c r="BE691" s="37"/>
      <c r="BF691" s="37"/>
      <c r="BG691" s="886">
        <f t="shared" si="25"/>
        <v>0</v>
      </c>
      <c r="BH691" s="884">
        <f t="shared" si="26"/>
        <v>0</v>
      </c>
      <c r="BI691" s="885" t="str">
        <f t="shared" si="27"/>
        <v xml:space="preserve"> </v>
      </c>
      <c r="BJ691" s="37"/>
      <c r="BK691" s="37"/>
      <c r="BL691" s="37"/>
      <c r="BM691" s="37"/>
      <c r="BN691" s="37"/>
      <c r="BO691" s="37"/>
      <c r="BP691" s="495" t="s">
        <v>860</v>
      </c>
      <c r="BQ691" s="494">
        <v>1364</v>
      </c>
      <c r="BR691" s="494">
        <v>1462</v>
      </c>
      <c r="BS691" s="494">
        <v>1754</v>
      </c>
      <c r="BT691" s="494">
        <v>2026</v>
      </c>
      <c r="BU691" s="494">
        <v>2260</v>
      </c>
      <c r="BV691" s="494">
        <v>2492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6" ht="13.35" customHeight="1">
      <c r="A692" s="37"/>
      <c r="B692" s="1174" t="s">
        <v>1406</v>
      </c>
      <c r="C692" s="1175"/>
      <c r="D692" s="1175"/>
      <c r="E692" s="1175"/>
      <c r="F692" s="1176"/>
      <c r="G692" s="1171">
        <v>22</v>
      </c>
      <c r="H692" s="1172"/>
      <c r="I692" s="1172"/>
      <c r="J692" s="1173"/>
      <c r="K692" s="1179">
        <v>475</v>
      </c>
      <c r="L692" s="1180"/>
      <c r="M692" s="1180"/>
      <c r="N692" s="1181"/>
      <c r="O692" s="1182">
        <v>595</v>
      </c>
      <c r="P692" s="1183"/>
      <c r="Q692" s="1183"/>
      <c r="R692" s="1183"/>
      <c r="S692" s="1184"/>
      <c r="T692" s="1185">
        <f t="shared" ref="T692:T716" si="28">G692*O692</f>
        <v>13090</v>
      </c>
      <c r="U692" s="1186"/>
      <c r="V692" s="1186"/>
      <c r="W692" s="1186"/>
      <c r="X692" s="1187"/>
      <c r="Y692" s="1182">
        <f>+M793</f>
        <v>30</v>
      </c>
      <c r="Z692" s="1183"/>
      <c r="AA692" s="1183"/>
      <c r="AB692" s="1184"/>
      <c r="AC692" s="1185">
        <f t="shared" ref="AC692:AC716" si="29">O692+Y692</f>
        <v>625</v>
      </c>
      <c r="AD692" s="1186"/>
      <c r="AE692" s="1186"/>
      <c r="AF692" s="1186"/>
      <c r="AG692" s="1187"/>
      <c r="AH692" s="1245">
        <v>0.3</v>
      </c>
      <c r="AI692" s="1246"/>
      <c r="AJ692" s="1246"/>
      <c r="AK692" s="1246"/>
      <c r="AL692" s="1247"/>
      <c r="AM692" s="1386">
        <f>IF($AH692&gt;0,($AC692/$BA675)," ")</f>
        <v>0.29990403071017274</v>
      </c>
      <c r="AN692" s="1387"/>
      <c r="AO692" s="1388"/>
      <c r="BA692" s="37" t="str">
        <f t="shared" si="24"/>
        <v>N/A</v>
      </c>
      <c r="BB692" s="37"/>
      <c r="BC692" s="37"/>
      <c r="BD692" s="37"/>
      <c r="BE692" s="37"/>
      <c r="BF692" s="37"/>
      <c r="BG692" s="886">
        <f t="shared" si="25"/>
        <v>0</v>
      </c>
      <c r="BH692" s="884">
        <f t="shared" si="26"/>
        <v>0</v>
      </c>
      <c r="BI692" s="885" t="str">
        <f t="shared" si="27"/>
        <v xml:space="preserve"> </v>
      </c>
      <c r="BJ692" s="37"/>
      <c r="BK692" s="37"/>
      <c r="BL692" s="37"/>
      <c r="BM692" s="37"/>
      <c r="BN692" s="37"/>
      <c r="BO692" s="37"/>
      <c r="BP692" s="495" t="s">
        <v>863</v>
      </c>
      <c r="BQ692" s="494">
        <v>1406</v>
      </c>
      <c r="BR692" s="494">
        <v>1506</v>
      </c>
      <c r="BS692" s="494">
        <v>1806</v>
      </c>
      <c r="BT692" s="494">
        <v>2088</v>
      </c>
      <c r="BU692" s="494">
        <v>2330</v>
      </c>
      <c r="BV692" s="494">
        <v>2570</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6" ht="13.35" customHeight="1">
      <c r="A693" s="37"/>
      <c r="B693" s="1174" t="s">
        <v>1406</v>
      </c>
      <c r="C693" s="1175"/>
      <c r="D693" s="1175"/>
      <c r="E693" s="1175"/>
      <c r="F693" s="1176"/>
      <c r="G693" s="1171">
        <v>21</v>
      </c>
      <c r="H693" s="1172"/>
      <c r="I693" s="1172"/>
      <c r="J693" s="1173"/>
      <c r="K693" s="1179">
        <v>475</v>
      </c>
      <c r="L693" s="1180"/>
      <c r="M693" s="1180"/>
      <c r="N693" s="1181"/>
      <c r="O693" s="1182">
        <v>803</v>
      </c>
      <c r="P693" s="1183"/>
      <c r="Q693" s="1183"/>
      <c r="R693" s="1183"/>
      <c r="S693" s="1184"/>
      <c r="T693" s="1185">
        <f t="shared" si="28"/>
        <v>16863</v>
      </c>
      <c r="U693" s="1186"/>
      <c r="V693" s="1186"/>
      <c r="W693" s="1186"/>
      <c r="X693" s="1187"/>
      <c r="Y693" s="1182">
        <f>+Y692</f>
        <v>30</v>
      </c>
      <c r="Z693" s="1183"/>
      <c r="AA693" s="1183"/>
      <c r="AB693" s="1184"/>
      <c r="AC693" s="1185">
        <f t="shared" si="29"/>
        <v>833</v>
      </c>
      <c r="AD693" s="1186"/>
      <c r="AE693" s="1186"/>
      <c r="AF693" s="1186"/>
      <c r="AG693" s="1187"/>
      <c r="AH693" s="1197">
        <v>0.5</v>
      </c>
      <c r="AI693" s="1198"/>
      <c r="AJ693" s="1198"/>
      <c r="AK693" s="1198"/>
      <c r="AL693" s="1199"/>
      <c r="AM693" s="1386">
        <f t="shared" ref="AM693:AM716" si="30">IF($AH693&gt;0,($AC693/$BA676), " ")</f>
        <v>0.39971209213051823</v>
      </c>
      <c r="AN693" s="1387"/>
      <c r="AO693" s="1388"/>
      <c r="BA693" s="37" t="str">
        <f t="shared" si="24"/>
        <v>N/A</v>
      </c>
      <c r="BB693" s="37"/>
      <c r="BC693" s="37"/>
      <c r="BD693" s="37"/>
      <c r="BE693" s="37"/>
      <c r="BF693" s="37"/>
      <c r="BG693" s="886">
        <f t="shared" si="25"/>
        <v>0</v>
      </c>
      <c r="BH693" s="884">
        <f t="shared" si="26"/>
        <v>0</v>
      </c>
      <c r="BI693" s="885" t="str">
        <f t="shared" si="27"/>
        <v xml:space="preserve"> </v>
      </c>
      <c r="BJ693" s="37"/>
      <c r="BK693" s="37"/>
      <c r="BL693" s="37"/>
      <c r="BM693" s="37"/>
      <c r="BN693" s="37"/>
      <c r="BO693" s="37"/>
      <c r="BP693" s="495" t="s">
        <v>869</v>
      </c>
      <c r="BQ693" s="494">
        <v>2084</v>
      </c>
      <c r="BR693" s="494">
        <v>2232</v>
      </c>
      <c r="BS693" s="494">
        <v>2680</v>
      </c>
      <c r="BT693" s="494">
        <v>3096</v>
      </c>
      <c r="BU693" s="494">
        <v>3454</v>
      </c>
      <c r="BV693" s="494">
        <v>3812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6" ht="13.35" customHeight="1">
      <c r="A694" s="37"/>
      <c r="B694" s="1174"/>
      <c r="C694" s="1175"/>
      <c r="D694" s="1175"/>
      <c r="E694" s="1175"/>
      <c r="F694" s="1176"/>
      <c r="G694" s="1171"/>
      <c r="H694" s="1172"/>
      <c r="I694" s="1172"/>
      <c r="J694" s="1173"/>
      <c r="K694" s="1179"/>
      <c r="L694" s="1180"/>
      <c r="M694" s="1180"/>
      <c r="N694" s="1181"/>
      <c r="O694" s="1182"/>
      <c r="P694" s="1183"/>
      <c r="Q694" s="1183"/>
      <c r="R694" s="1183"/>
      <c r="S694" s="1184"/>
      <c r="T694" s="1185">
        <f t="shared" si="28"/>
        <v>0</v>
      </c>
      <c r="U694" s="1186"/>
      <c r="V694" s="1186"/>
      <c r="W694" s="1186"/>
      <c r="X694" s="1187"/>
      <c r="Y694" s="1182"/>
      <c r="Z694" s="1183"/>
      <c r="AA694" s="1183"/>
      <c r="AB694" s="1184"/>
      <c r="AC694" s="1185">
        <f t="shared" si="29"/>
        <v>0</v>
      </c>
      <c r="AD694" s="1186"/>
      <c r="AE694" s="1186"/>
      <c r="AF694" s="1186"/>
      <c r="AG694" s="1187"/>
      <c r="AH694" s="1197"/>
      <c r="AI694" s="1198"/>
      <c r="AJ694" s="1198"/>
      <c r="AK694" s="1198"/>
      <c r="AL694" s="1199"/>
      <c r="AM694" s="1386" t="str">
        <f t="shared" si="30"/>
        <v xml:space="preserve"> </v>
      </c>
      <c r="AN694" s="1387"/>
      <c r="AO694" s="1388"/>
      <c r="BA694" s="37" t="str">
        <f t="shared" si="24"/>
        <v>N/A</v>
      </c>
      <c r="BB694" s="37"/>
      <c r="BC694" s="37"/>
      <c r="BD694" s="37"/>
      <c r="BE694" s="37"/>
      <c r="BF694" s="37"/>
      <c r="BG694" s="886">
        <f t="shared" si="25"/>
        <v>0</v>
      </c>
      <c r="BH694" s="884">
        <f t="shared" si="26"/>
        <v>0</v>
      </c>
      <c r="BI694" s="885" t="str">
        <f t="shared" si="27"/>
        <v xml:space="preserve"> </v>
      </c>
      <c r="BJ694" s="37"/>
      <c r="BK694" s="37"/>
      <c r="BL694" s="37"/>
      <c r="BM694" s="37"/>
      <c r="BN694" s="37"/>
      <c r="BO694" s="37"/>
      <c r="BP694" s="495" t="s">
        <v>872</v>
      </c>
      <c r="BQ694" s="494">
        <v>1364</v>
      </c>
      <c r="BR694" s="494">
        <v>1462</v>
      </c>
      <c r="BS694" s="494">
        <v>1754</v>
      </c>
      <c r="BT694" s="494">
        <v>2026</v>
      </c>
      <c r="BU694" s="494">
        <v>2260</v>
      </c>
      <c r="BV694" s="494">
        <v>2492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6" ht="13.35" customHeight="1">
      <c r="B695" s="1174"/>
      <c r="C695" s="1175"/>
      <c r="D695" s="1175"/>
      <c r="E695" s="1175"/>
      <c r="F695" s="1176"/>
      <c r="G695" s="1171"/>
      <c r="H695" s="1172"/>
      <c r="I695" s="1172"/>
      <c r="J695" s="1173"/>
      <c r="K695" s="1179"/>
      <c r="L695" s="1180"/>
      <c r="M695" s="1180"/>
      <c r="N695" s="1181"/>
      <c r="O695" s="1182"/>
      <c r="P695" s="1183"/>
      <c r="Q695" s="1183"/>
      <c r="R695" s="1183"/>
      <c r="S695" s="1184"/>
      <c r="T695" s="1185">
        <f t="shared" si="28"/>
        <v>0</v>
      </c>
      <c r="U695" s="1186"/>
      <c r="V695" s="1186"/>
      <c r="W695" s="1186"/>
      <c r="X695" s="1187"/>
      <c r="Y695" s="1182"/>
      <c r="Z695" s="1183"/>
      <c r="AA695" s="1183"/>
      <c r="AB695" s="1184"/>
      <c r="AC695" s="1185">
        <f t="shared" si="29"/>
        <v>0</v>
      </c>
      <c r="AD695" s="1186"/>
      <c r="AE695" s="1186"/>
      <c r="AF695" s="1186"/>
      <c r="AG695" s="1187"/>
      <c r="AH695" s="1197"/>
      <c r="AI695" s="1198"/>
      <c r="AJ695" s="1198"/>
      <c r="AK695" s="1198"/>
      <c r="AL695" s="1199"/>
      <c r="AM695" s="1386" t="str">
        <f t="shared" si="30"/>
        <v xml:space="preserve"> </v>
      </c>
      <c r="AN695" s="1387"/>
      <c r="AO695" s="1388"/>
      <c r="BA695" s="37" t="str">
        <f t="shared" si="24"/>
        <v>N/A</v>
      </c>
      <c r="BB695" s="37"/>
      <c r="BC695" s="37"/>
      <c r="BD695" s="37"/>
      <c r="BE695" s="37"/>
      <c r="BF695" s="37"/>
      <c r="BG695" s="886">
        <f t="shared" si="25"/>
        <v>0</v>
      </c>
      <c r="BH695" s="884">
        <f t="shared" si="26"/>
        <v>0</v>
      </c>
      <c r="BI695" s="885" t="str">
        <f t="shared" si="27"/>
        <v xml:space="preserve"> </v>
      </c>
      <c r="BJ695" s="37"/>
      <c r="BK695" s="37"/>
      <c r="BL695" s="37"/>
      <c r="BM695" s="37"/>
      <c r="BN695" s="37"/>
      <c r="BO695" s="37"/>
      <c r="BP695" s="495" t="s">
        <v>875</v>
      </c>
      <c r="BQ695" s="494">
        <v>3262</v>
      </c>
      <c r="BR695" s="494">
        <v>3496</v>
      </c>
      <c r="BS695" s="494">
        <v>4194</v>
      </c>
      <c r="BT695" s="494">
        <v>4846</v>
      </c>
      <c r="BU695" s="494">
        <v>5406</v>
      </c>
      <c r="BV695" s="494">
        <v>5966</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6" ht="13.35" customHeight="1">
      <c r="B696" s="1174"/>
      <c r="C696" s="1175"/>
      <c r="D696" s="1175"/>
      <c r="E696" s="1175"/>
      <c r="F696" s="1176"/>
      <c r="G696" s="1171"/>
      <c r="H696" s="1172"/>
      <c r="I696" s="1172"/>
      <c r="J696" s="1173"/>
      <c r="K696" s="1179"/>
      <c r="L696" s="1180"/>
      <c r="M696" s="1180"/>
      <c r="N696" s="1181"/>
      <c r="O696" s="1182"/>
      <c r="P696" s="1183"/>
      <c r="Q696" s="1183"/>
      <c r="R696" s="1183"/>
      <c r="S696" s="1184"/>
      <c r="T696" s="1185">
        <f t="shared" si="28"/>
        <v>0</v>
      </c>
      <c r="U696" s="1186"/>
      <c r="V696" s="1186"/>
      <c r="W696" s="1186"/>
      <c r="X696" s="1187"/>
      <c r="Y696" s="1182"/>
      <c r="Z696" s="1183"/>
      <c r="AA696" s="1183"/>
      <c r="AB696" s="1184"/>
      <c r="AC696" s="1185">
        <f t="shared" si="29"/>
        <v>0</v>
      </c>
      <c r="AD696" s="1186"/>
      <c r="AE696" s="1186"/>
      <c r="AF696" s="1186"/>
      <c r="AG696" s="1187"/>
      <c r="AH696" s="1197"/>
      <c r="AI696" s="1198"/>
      <c r="AJ696" s="1198"/>
      <c r="AK696" s="1198"/>
      <c r="AL696" s="1199"/>
      <c r="AM696" s="1386" t="str">
        <f t="shared" si="30"/>
        <v xml:space="preserve"> </v>
      </c>
      <c r="AN696" s="1387"/>
      <c r="AO696" s="1388"/>
      <c r="BA696" s="37" t="str">
        <f t="shared" si="24"/>
        <v>N/A</v>
      </c>
      <c r="BB696" s="37"/>
      <c r="BC696" s="37"/>
      <c r="BD696" s="37"/>
      <c r="BE696" s="37"/>
      <c r="BF696" s="37"/>
      <c r="BG696" s="886">
        <f t="shared" si="25"/>
        <v>0</v>
      </c>
      <c r="BH696" s="884">
        <f t="shared" si="26"/>
        <v>0</v>
      </c>
      <c r="BI696" s="885" t="str">
        <f t="shared" si="27"/>
        <v xml:space="preserve"> </v>
      </c>
      <c r="BJ696" s="37"/>
      <c r="BK696" s="37"/>
      <c r="BL696" s="37"/>
      <c r="BM696" s="37"/>
      <c r="BN696" s="37"/>
      <c r="BO696" s="37"/>
      <c r="BP696" s="495" t="s">
        <v>878</v>
      </c>
      <c r="BQ696" s="494">
        <v>1364</v>
      </c>
      <c r="BR696" s="494">
        <v>1462</v>
      </c>
      <c r="BS696" s="494">
        <v>1754</v>
      </c>
      <c r="BT696" s="494">
        <v>2026</v>
      </c>
      <c r="BU696" s="494">
        <v>2260</v>
      </c>
      <c r="BV696" s="494">
        <v>2492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6" ht="13.35" customHeight="1">
      <c r="B697" s="1174"/>
      <c r="C697" s="1175"/>
      <c r="D697" s="1175"/>
      <c r="E697" s="1175"/>
      <c r="F697" s="1176"/>
      <c r="G697" s="1171"/>
      <c r="H697" s="1172"/>
      <c r="I697" s="1172"/>
      <c r="J697" s="1173"/>
      <c r="K697" s="1179"/>
      <c r="L697" s="1180"/>
      <c r="M697" s="1180"/>
      <c r="N697" s="1181"/>
      <c r="O697" s="1182"/>
      <c r="P697" s="1183"/>
      <c r="Q697" s="1183"/>
      <c r="R697" s="1183"/>
      <c r="S697" s="1184"/>
      <c r="T697" s="1185">
        <f t="shared" si="28"/>
        <v>0</v>
      </c>
      <c r="U697" s="1186"/>
      <c r="V697" s="1186"/>
      <c r="W697" s="1186"/>
      <c r="X697" s="1187"/>
      <c r="Y697" s="1182"/>
      <c r="Z697" s="1183"/>
      <c r="AA697" s="1183"/>
      <c r="AB697" s="1184"/>
      <c r="AC697" s="1185">
        <f t="shared" si="29"/>
        <v>0</v>
      </c>
      <c r="AD697" s="1186"/>
      <c r="AE697" s="1186"/>
      <c r="AF697" s="1186"/>
      <c r="AG697" s="1187"/>
      <c r="AH697" s="1197"/>
      <c r="AI697" s="1198"/>
      <c r="AJ697" s="1198"/>
      <c r="AK697" s="1198"/>
      <c r="AL697" s="1199"/>
      <c r="AM697" s="1386" t="str">
        <f t="shared" si="30"/>
        <v xml:space="preserve"> </v>
      </c>
      <c r="AN697" s="1387"/>
      <c r="AO697" s="1388"/>
      <c r="BA697" s="37" t="str">
        <f t="shared" si="24"/>
        <v>N/A</v>
      </c>
      <c r="BB697" s="37"/>
      <c r="BC697" s="37"/>
      <c r="BD697" s="37"/>
      <c r="BE697" s="37"/>
      <c r="BF697" s="37"/>
      <c r="BG697" s="886">
        <f t="shared" si="25"/>
        <v>0</v>
      </c>
      <c r="BH697" s="884">
        <f t="shared" si="26"/>
        <v>0</v>
      </c>
      <c r="BI697" s="885" t="str">
        <f t="shared" si="27"/>
        <v xml:space="preserve"> </v>
      </c>
      <c r="BJ697" s="37"/>
      <c r="BK697" s="37"/>
      <c r="BL697" s="37"/>
      <c r="BM697" s="37"/>
      <c r="BN697" s="37"/>
      <c r="BO697" s="37"/>
      <c r="BP697" s="495" t="s">
        <v>880</v>
      </c>
      <c r="BQ697" s="494">
        <v>1406</v>
      </c>
      <c r="BR697" s="494">
        <v>1506</v>
      </c>
      <c r="BS697" s="494">
        <v>1806</v>
      </c>
      <c r="BT697" s="494">
        <v>2088</v>
      </c>
      <c r="BU697" s="494">
        <v>2330</v>
      </c>
      <c r="BV697" s="494">
        <v>2570</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6" ht="13.35" customHeight="1">
      <c r="B698" s="1174"/>
      <c r="C698" s="1175"/>
      <c r="D698" s="1175"/>
      <c r="E698" s="1175"/>
      <c r="F698" s="1176"/>
      <c r="G698" s="1171"/>
      <c r="H698" s="1172"/>
      <c r="I698" s="1172"/>
      <c r="J698" s="1173"/>
      <c r="K698" s="1179"/>
      <c r="L698" s="1180"/>
      <c r="M698" s="1180"/>
      <c r="N698" s="1181"/>
      <c r="O698" s="1182"/>
      <c r="P698" s="1183"/>
      <c r="Q698" s="1183"/>
      <c r="R698" s="1183"/>
      <c r="S698" s="1184"/>
      <c r="T698" s="1185">
        <f t="shared" si="28"/>
        <v>0</v>
      </c>
      <c r="U698" s="1186"/>
      <c r="V698" s="1186"/>
      <c r="W698" s="1186"/>
      <c r="X698" s="1187"/>
      <c r="Y698" s="1182"/>
      <c r="Z698" s="1183"/>
      <c r="AA698" s="1183"/>
      <c r="AB698" s="1184"/>
      <c r="AC698" s="1185">
        <f t="shared" si="29"/>
        <v>0</v>
      </c>
      <c r="AD698" s="1186"/>
      <c r="AE698" s="1186"/>
      <c r="AF698" s="1186"/>
      <c r="AG698" s="1187"/>
      <c r="AH698" s="1197"/>
      <c r="AI698" s="1198"/>
      <c r="AJ698" s="1198"/>
      <c r="AK698" s="1198"/>
      <c r="AL698" s="1199"/>
      <c r="AM698" s="1386" t="str">
        <f t="shared" si="30"/>
        <v xml:space="preserve"> </v>
      </c>
      <c r="AN698" s="1387"/>
      <c r="AO698" s="1388"/>
      <c r="BA698" s="37" t="str">
        <f t="shared" si="24"/>
        <v>N/A</v>
      </c>
      <c r="BB698" s="37"/>
      <c r="BC698" s="37"/>
      <c r="BD698" s="37"/>
      <c r="BE698" s="37"/>
      <c r="BF698" s="37"/>
      <c r="BG698" s="886">
        <f t="shared" si="25"/>
        <v>0</v>
      </c>
      <c r="BH698" s="884">
        <f t="shared" si="26"/>
        <v>0</v>
      </c>
      <c r="BI698" s="885" t="str">
        <f t="shared" si="27"/>
        <v xml:space="preserve"> </v>
      </c>
      <c r="BJ698" s="37"/>
      <c r="BK698" s="37"/>
      <c r="BL698" s="37"/>
      <c r="BM698" s="37"/>
      <c r="BN698" s="37"/>
      <c r="BO698" s="37"/>
      <c r="BP698" s="495" t="s">
        <v>883</v>
      </c>
      <c r="BQ698" s="494">
        <v>1364</v>
      </c>
      <c r="BR698" s="494">
        <v>1462</v>
      </c>
      <c r="BS698" s="494">
        <v>1754</v>
      </c>
      <c r="BT698" s="494">
        <v>2026</v>
      </c>
      <c r="BU698" s="494">
        <v>2260</v>
      </c>
      <c r="BV698" s="494">
        <v>2492</v>
      </c>
      <c r="BX698" s="37"/>
      <c r="BY698" s="37"/>
      <c r="BZ698" s="37"/>
      <c r="CA698" s="37"/>
      <c r="CB698" s="37"/>
      <c r="CC698" s="37"/>
      <c r="CD698" s="37"/>
      <c r="CE698" s="37"/>
      <c r="CF698" s="37"/>
      <c r="CG698" s="37"/>
      <c r="CH698" s="37"/>
      <c r="CI698" s="37"/>
      <c r="CJ698" s="37"/>
      <c r="CK698" s="37"/>
      <c r="CL698" s="37"/>
      <c r="CM698" s="37"/>
      <c r="CN698" s="37"/>
      <c r="CO698" s="37"/>
      <c r="CP698" s="37"/>
    </row>
    <row r="699" spans="1:96" ht="13.35" customHeight="1">
      <c r="B699" s="1174"/>
      <c r="C699" s="1175"/>
      <c r="D699" s="1175"/>
      <c r="E699" s="1175"/>
      <c r="F699" s="1176"/>
      <c r="G699" s="1171"/>
      <c r="H699" s="1172"/>
      <c r="I699" s="1172"/>
      <c r="J699" s="1173"/>
      <c r="K699" s="1179"/>
      <c r="L699" s="1180"/>
      <c r="M699" s="1180"/>
      <c r="N699" s="1181"/>
      <c r="O699" s="1182"/>
      <c r="P699" s="1183"/>
      <c r="Q699" s="1183"/>
      <c r="R699" s="1183"/>
      <c r="S699" s="1184"/>
      <c r="T699" s="1185">
        <f t="shared" si="28"/>
        <v>0</v>
      </c>
      <c r="U699" s="1186"/>
      <c r="V699" s="1186"/>
      <c r="W699" s="1186"/>
      <c r="X699" s="1187"/>
      <c r="Y699" s="1182"/>
      <c r="Z699" s="1183"/>
      <c r="AA699" s="1183"/>
      <c r="AB699" s="1184"/>
      <c r="AC699" s="1185">
        <f t="shared" si="29"/>
        <v>0</v>
      </c>
      <c r="AD699" s="1186"/>
      <c r="AE699" s="1186"/>
      <c r="AF699" s="1186"/>
      <c r="AG699" s="1187"/>
      <c r="AH699" s="1197"/>
      <c r="AI699" s="1198"/>
      <c r="AJ699" s="1198"/>
      <c r="AK699" s="1198"/>
      <c r="AL699" s="1199"/>
      <c r="AM699" s="1386" t="str">
        <f t="shared" si="30"/>
        <v xml:space="preserve"> </v>
      </c>
      <c r="AN699" s="1387"/>
      <c r="AO699" s="1388"/>
      <c r="BA699" s="37" t="str">
        <f t="shared" si="24"/>
        <v>N/A</v>
      </c>
      <c r="BB699" s="37"/>
      <c r="BC699" s="37"/>
      <c r="BD699" s="37"/>
      <c r="BE699" s="37"/>
      <c r="BF699" s="37"/>
      <c r="BG699" s="886">
        <f t="shared" si="25"/>
        <v>0</v>
      </c>
      <c r="BH699" s="884">
        <f t="shared" si="26"/>
        <v>0</v>
      </c>
      <c r="BI699" s="885" t="str">
        <f t="shared" si="27"/>
        <v xml:space="preserve"> </v>
      </c>
      <c r="BJ699" s="37"/>
      <c r="BK699" s="37"/>
      <c r="BL699" s="37"/>
      <c r="BM699" s="37"/>
      <c r="BN699" s="37"/>
      <c r="BO699" s="37"/>
      <c r="BP699" s="495" t="s">
        <v>886</v>
      </c>
      <c r="BQ699" s="494">
        <v>1364</v>
      </c>
      <c r="BR699" s="494">
        <v>1462</v>
      </c>
      <c r="BS699" s="494">
        <v>1754</v>
      </c>
      <c r="BT699" s="494">
        <v>2026</v>
      </c>
      <c r="BU699" s="494">
        <v>2260</v>
      </c>
      <c r="BV699" s="494">
        <v>2492</v>
      </c>
      <c r="BX699" s="37"/>
      <c r="BY699" s="37"/>
      <c r="BZ699" s="37"/>
      <c r="CA699" s="37"/>
      <c r="CB699" s="37"/>
      <c r="CC699" s="37"/>
      <c r="CD699" s="37"/>
      <c r="CE699" s="37"/>
      <c r="CF699" s="37"/>
      <c r="CG699" s="37"/>
      <c r="CH699" s="37"/>
      <c r="CI699" s="37"/>
      <c r="CJ699" s="37"/>
      <c r="CK699" s="37"/>
      <c r="CL699" s="37"/>
      <c r="CM699" s="37"/>
      <c r="CN699" s="37"/>
      <c r="CO699" s="37"/>
      <c r="CP699" s="37"/>
    </row>
    <row r="700" spans="1:96" ht="13.35" customHeight="1">
      <c r="B700" s="1174"/>
      <c r="C700" s="1175"/>
      <c r="D700" s="1175"/>
      <c r="E700" s="1175"/>
      <c r="F700" s="1176"/>
      <c r="G700" s="1171"/>
      <c r="H700" s="1172"/>
      <c r="I700" s="1172"/>
      <c r="J700" s="1173"/>
      <c r="K700" s="1179"/>
      <c r="L700" s="1180"/>
      <c r="M700" s="1180"/>
      <c r="N700" s="1181"/>
      <c r="O700" s="1182"/>
      <c r="P700" s="1183"/>
      <c r="Q700" s="1183"/>
      <c r="R700" s="1183"/>
      <c r="S700" s="1184"/>
      <c r="T700" s="1185">
        <f t="shared" si="28"/>
        <v>0</v>
      </c>
      <c r="U700" s="1186"/>
      <c r="V700" s="1186"/>
      <c r="W700" s="1186"/>
      <c r="X700" s="1187"/>
      <c r="Y700" s="1182"/>
      <c r="Z700" s="1183"/>
      <c r="AA700" s="1183"/>
      <c r="AB700" s="1184"/>
      <c r="AC700" s="1185">
        <f t="shared" si="29"/>
        <v>0</v>
      </c>
      <c r="AD700" s="1186"/>
      <c r="AE700" s="1186"/>
      <c r="AF700" s="1186"/>
      <c r="AG700" s="1187"/>
      <c r="AH700" s="1197"/>
      <c r="AI700" s="1198"/>
      <c r="AJ700" s="1198"/>
      <c r="AK700" s="1198"/>
      <c r="AL700" s="1199"/>
      <c r="AM700" s="1386" t="str">
        <f t="shared" si="30"/>
        <v xml:space="preserve"> </v>
      </c>
      <c r="AN700" s="1387"/>
      <c r="AO700" s="1388"/>
      <c r="BA700" s="37"/>
      <c r="BB700" s="37"/>
      <c r="BC700" s="37"/>
      <c r="BD700" s="37"/>
      <c r="BE700" s="37"/>
      <c r="BF700" s="37"/>
      <c r="BG700" s="887">
        <f t="shared" si="25"/>
        <v>0</v>
      </c>
      <c r="BH700" s="888">
        <f t="shared" si="26"/>
        <v>0</v>
      </c>
      <c r="BI700" s="885" t="str">
        <f t="shared" si="27"/>
        <v xml:space="preserve"> </v>
      </c>
      <c r="BJ700" s="37"/>
      <c r="BK700" s="37"/>
      <c r="BL700" s="37"/>
      <c r="BM700" s="37"/>
      <c r="BN700" s="37"/>
      <c r="BO700" s="37"/>
      <c r="BP700" s="495" t="s">
        <v>888</v>
      </c>
      <c r="BQ700" s="494">
        <v>1406</v>
      </c>
      <c r="BR700" s="494">
        <v>1506</v>
      </c>
      <c r="BS700" s="494">
        <v>1806</v>
      </c>
      <c r="BT700" s="494">
        <v>2088</v>
      </c>
      <c r="BU700" s="494">
        <v>2330</v>
      </c>
      <c r="BV700" s="494">
        <v>2570</v>
      </c>
      <c r="BX700" s="37"/>
      <c r="BY700" s="37"/>
      <c r="BZ700" s="37"/>
      <c r="CA700" s="37"/>
      <c r="CB700" s="37"/>
      <c r="CC700" s="37"/>
      <c r="CD700" s="37"/>
      <c r="CE700" s="37"/>
      <c r="CF700" s="37"/>
      <c r="CG700" s="37"/>
      <c r="CH700" s="37"/>
      <c r="CI700" s="37"/>
      <c r="CJ700" s="37"/>
      <c r="CK700" s="37"/>
      <c r="CL700" s="37"/>
      <c r="CM700" s="37"/>
      <c r="CN700" s="37"/>
      <c r="CO700" s="37"/>
      <c r="CP700" s="37"/>
    </row>
    <row r="701" spans="1:96" ht="13.35" customHeight="1">
      <c r="A701" s="37"/>
      <c r="B701" s="1174"/>
      <c r="C701" s="1175"/>
      <c r="D701" s="1175"/>
      <c r="E701" s="1175"/>
      <c r="F701" s="1176"/>
      <c r="G701" s="1171"/>
      <c r="H701" s="1172"/>
      <c r="I701" s="1172"/>
      <c r="J701" s="1173"/>
      <c r="K701" s="1179"/>
      <c r="L701" s="1180"/>
      <c r="M701" s="1180"/>
      <c r="N701" s="1181"/>
      <c r="O701" s="1182"/>
      <c r="P701" s="1183"/>
      <c r="Q701" s="1183"/>
      <c r="R701" s="1183"/>
      <c r="S701" s="1184"/>
      <c r="T701" s="1185">
        <f t="shared" si="28"/>
        <v>0</v>
      </c>
      <c r="U701" s="1186"/>
      <c r="V701" s="1186"/>
      <c r="W701" s="1186"/>
      <c r="X701" s="1187"/>
      <c r="Y701" s="1182"/>
      <c r="Z701" s="1183"/>
      <c r="AA701" s="1183"/>
      <c r="AB701" s="1184"/>
      <c r="AC701" s="1185">
        <f t="shared" si="29"/>
        <v>0</v>
      </c>
      <c r="AD701" s="1186"/>
      <c r="AE701" s="1186"/>
      <c r="AF701" s="1186"/>
      <c r="AG701" s="1187"/>
      <c r="AH701" s="1197"/>
      <c r="AI701" s="1198"/>
      <c r="AJ701" s="1198"/>
      <c r="AK701" s="1198"/>
      <c r="AL701" s="1199"/>
      <c r="AM701" s="1386" t="str">
        <f t="shared" si="30"/>
        <v xml:space="preserve"> </v>
      </c>
      <c r="AN701" s="1387"/>
      <c r="AO701" s="1388"/>
      <c r="BA701" s="37"/>
      <c r="BB701" s="37"/>
      <c r="BC701" s="37"/>
      <c r="BD701" s="37"/>
      <c r="BE701" s="827"/>
      <c r="BF701" s="55" t="s">
        <v>1451</v>
      </c>
      <c r="BG701" s="381">
        <f>SUM(BG676:BG700)</f>
        <v>43</v>
      </c>
      <c r="BH701" s="382">
        <f>SUM(BH676:BH700)</f>
        <v>1</v>
      </c>
      <c r="BI701" s="382">
        <f>SUM(BI676:BI700)</f>
        <v>0.39767441860465114</v>
      </c>
      <c r="BJ701" s="37"/>
      <c r="BK701" s="37"/>
      <c r="BL701" s="37"/>
      <c r="BM701" s="37"/>
      <c r="BN701" s="37"/>
      <c r="BO701" s="37"/>
      <c r="BP701" s="495" t="s">
        <v>891</v>
      </c>
      <c r="BQ701" s="494">
        <v>1990</v>
      </c>
      <c r="BR701" s="494">
        <v>2132</v>
      </c>
      <c r="BS701" s="494">
        <v>2560</v>
      </c>
      <c r="BT701" s="494">
        <v>2956</v>
      </c>
      <c r="BU701" s="494">
        <v>3296</v>
      </c>
      <c r="BV701" s="494">
        <v>3638</v>
      </c>
      <c r="BX701" s="37"/>
      <c r="BY701" s="37"/>
      <c r="BZ701" s="37"/>
      <c r="CA701" s="37"/>
      <c r="CB701" s="37"/>
      <c r="CC701" s="37"/>
      <c r="CD701" s="37"/>
      <c r="CE701" s="37"/>
      <c r="CF701" s="37"/>
      <c r="CG701" s="37"/>
      <c r="CH701" s="37"/>
      <c r="CI701" s="37"/>
      <c r="CJ701" s="37"/>
      <c r="CK701" s="37"/>
      <c r="CL701" s="37"/>
      <c r="CM701" s="37"/>
      <c r="CN701" s="37"/>
      <c r="CO701" s="37"/>
      <c r="CP701" s="37"/>
      <c r="CQ701" s="37"/>
      <c r="CR701" s="37"/>
    </row>
    <row r="702" spans="1:96" ht="13.35" customHeight="1">
      <c r="A702" s="37"/>
      <c r="B702" s="1174"/>
      <c r="C702" s="1175"/>
      <c r="D702" s="1175"/>
      <c r="E702" s="1175"/>
      <c r="F702" s="1176"/>
      <c r="G702" s="1171"/>
      <c r="H702" s="1172"/>
      <c r="I702" s="1172"/>
      <c r="J702" s="1173"/>
      <c r="K702" s="1179"/>
      <c r="L702" s="1180"/>
      <c r="M702" s="1180"/>
      <c r="N702" s="1181"/>
      <c r="O702" s="1182"/>
      <c r="P702" s="1183"/>
      <c r="Q702" s="1183"/>
      <c r="R702" s="1183"/>
      <c r="S702" s="1184"/>
      <c r="T702" s="1185">
        <f t="shared" si="28"/>
        <v>0</v>
      </c>
      <c r="U702" s="1186"/>
      <c r="V702" s="1186"/>
      <c r="W702" s="1186"/>
      <c r="X702" s="1187"/>
      <c r="Y702" s="1182"/>
      <c r="Z702" s="1183"/>
      <c r="AA702" s="1183"/>
      <c r="AB702" s="1184"/>
      <c r="AC702" s="1185">
        <f t="shared" si="29"/>
        <v>0</v>
      </c>
      <c r="AD702" s="1186"/>
      <c r="AE702" s="1186"/>
      <c r="AF702" s="1186"/>
      <c r="AG702" s="1187"/>
      <c r="AH702" s="1197"/>
      <c r="AI702" s="1198"/>
      <c r="AJ702" s="1198"/>
      <c r="AK702" s="1198"/>
      <c r="AL702" s="1199"/>
      <c r="AM702" s="1386" t="str">
        <f t="shared" si="30"/>
        <v xml:space="preserve"> </v>
      </c>
      <c r="AN702" s="1387"/>
      <c r="AO702" s="1388"/>
      <c r="BA702" s="37"/>
      <c r="BB702" s="37"/>
      <c r="BC702" s="37"/>
      <c r="BD702" s="37"/>
      <c r="BE702" s="37"/>
      <c r="BF702" s="37"/>
      <c r="BG702" s="37"/>
      <c r="BH702" s="37"/>
      <c r="BI702" s="37"/>
      <c r="BJ702" s="37"/>
      <c r="BK702" s="37"/>
      <c r="BL702" s="37"/>
      <c r="BM702" s="37"/>
      <c r="BN702" s="37"/>
      <c r="BO702" s="37"/>
      <c r="BP702" s="495" t="s">
        <v>895</v>
      </c>
      <c r="BQ702" s="494">
        <v>2206</v>
      </c>
      <c r="BR702" s="494">
        <v>2364</v>
      </c>
      <c r="BS702" s="494">
        <v>2836</v>
      </c>
      <c r="BT702" s="494">
        <v>3278</v>
      </c>
      <c r="BU702" s="494">
        <v>3656</v>
      </c>
      <c r="BV702" s="494">
        <v>4036</v>
      </c>
      <c r="BX702" s="37"/>
      <c r="BY702" s="37"/>
      <c r="BZ702" s="37"/>
      <c r="CA702" s="37"/>
      <c r="CB702" s="37"/>
      <c r="CC702" s="37"/>
      <c r="CD702" s="37"/>
      <c r="CE702" s="37"/>
      <c r="CF702" s="37"/>
      <c r="CG702" s="37"/>
      <c r="CH702" s="37"/>
      <c r="CI702" s="37"/>
      <c r="CJ702" s="37"/>
      <c r="CK702" s="37"/>
      <c r="CL702" s="37"/>
      <c r="CM702" s="37"/>
      <c r="CN702" s="37"/>
      <c r="CO702" s="37"/>
      <c r="CP702" s="37"/>
      <c r="CQ702" s="37"/>
      <c r="CR702" s="37"/>
    </row>
    <row r="703" spans="1:96" ht="13.35" customHeight="1">
      <c r="A703" s="37"/>
      <c r="B703" s="1174"/>
      <c r="C703" s="1175"/>
      <c r="D703" s="1175"/>
      <c r="E703" s="1175"/>
      <c r="F703" s="1176"/>
      <c r="G703" s="1171"/>
      <c r="H703" s="1172"/>
      <c r="I703" s="1172"/>
      <c r="J703" s="1173"/>
      <c r="K703" s="1179"/>
      <c r="L703" s="1180"/>
      <c r="M703" s="1180"/>
      <c r="N703" s="1181"/>
      <c r="O703" s="1182"/>
      <c r="P703" s="1183"/>
      <c r="Q703" s="1183"/>
      <c r="R703" s="1183"/>
      <c r="S703" s="1184"/>
      <c r="T703" s="1185">
        <f t="shared" si="28"/>
        <v>0</v>
      </c>
      <c r="U703" s="1186"/>
      <c r="V703" s="1186"/>
      <c r="W703" s="1186"/>
      <c r="X703" s="1187"/>
      <c r="Y703" s="1182"/>
      <c r="Z703" s="1183"/>
      <c r="AA703" s="1183"/>
      <c r="AB703" s="1184"/>
      <c r="AC703" s="1185">
        <f t="shared" si="29"/>
        <v>0</v>
      </c>
      <c r="AD703" s="1186"/>
      <c r="AE703" s="1186"/>
      <c r="AF703" s="1186"/>
      <c r="AG703" s="1187"/>
      <c r="AH703" s="1197"/>
      <c r="AI703" s="1198"/>
      <c r="AJ703" s="1198"/>
      <c r="AK703" s="1198"/>
      <c r="AL703" s="1199"/>
      <c r="AM703" s="1386" t="str">
        <f t="shared" si="30"/>
        <v xml:space="preserve"> </v>
      </c>
      <c r="AN703" s="1387"/>
      <c r="AO703" s="1388"/>
      <c r="BA703" s="37"/>
      <c r="BB703" s="37"/>
      <c r="BC703" s="37"/>
      <c r="BD703" s="37"/>
      <c r="BE703" s="37"/>
      <c r="BF703" s="37"/>
      <c r="BG703" s="37"/>
      <c r="BH703" s="37"/>
      <c r="BI703" s="37"/>
      <c r="BJ703" s="37"/>
      <c r="BK703" s="37"/>
      <c r="BL703" s="37"/>
      <c r="BM703" s="37"/>
      <c r="BN703" s="37"/>
      <c r="BO703" s="37"/>
      <c r="BP703" s="495" t="s">
        <v>899</v>
      </c>
      <c r="BQ703" s="494">
        <v>1722</v>
      </c>
      <c r="BR703" s="494">
        <v>1846</v>
      </c>
      <c r="BS703" s="494">
        <v>2214</v>
      </c>
      <c r="BT703" s="494">
        <v>2558</v>
      </c>
      <c r="BU703" s="494">
        <v>2854</v>
      </c>
      <c r="BV703" s="494">
        <v>3150</v>
      </c>
      <c r="BX703" s="37"/>
      <c r="BY703" s="37"/>
      <c r="BZ703" s="37"/>
      <c r="CA703" s="37"/>
      <c r="CB703" s="37"/>
      <c r="CC703" s="37"/>
      <c r="CD703" s="37"/>
      <c r="CE703" s="37"/>
      <c r="CF703" s="37"/>
      <c r="CG703" s="37"/>
      <c r="CH703" s="37"/>
      <c r="CI703" s="37"/>
      <c r="CJ703" s="37"/>
      <c r="CK703" s="37"/>
      <c r="CL703" s="37"/>
      <c r="CM703" s="37"/>
      <c r="CN703" s="37"/>
      <c r="CO703" s="37"/>
      <c r="CP703" s="37"/>
      <c r="CQ703" s="37"/>
      <c r="CR703" s="37"/>
    </row>
    <row r="704" spans="1:96" ht="13.35" customHeight="1">
      <c r="B704" s="1174"/>
      <c r="C704" s="1175"/>
      <c r="D704" s="1175"/>
      <c r="E704" s="1175"/>
      <c r="F704" s="1176"/>
      <c r="G704" s="1171"/>
      <c r="H704" s="1172"/>
      <c r="I704" s="1172"/>
      <c r="J704" s="1173"/>
      <c r="K704" s="1179"/>
      <c r="L704" s="1180"/>
      <c r="M704" s="1180"/>
      <c r="N704" s="1181"/>
      <c r="O704" s="1182"/>
      <c r="P704" s="1183"/>
      <c r="Q704" s="1183"/>
      <c r="R704" s="1183"/>
      <c r="S704" s="1184"/>
      <c r="T704" s="1185">
        <f t="shared" si="28"/>
        <v>0</v>
      </c>
      <c r="U704" s="1186"/>
      <c r="V704" s="1186"/>
      <c r="W704" s="1186"/>
      <c r="X704" s="1187"/>
      <c r="Y704" s="1182"/>
      <c r="Z704" s="1183"/>
      <c r="AA704" s="1183"/>
      <c r="AB704" s="1184"/>
      <c r="AC704" s="1185">
        <f t="shared" si="29"/>
        <v>0</v>
      </c>
      <c r="AD704" s="1186"/>
      <c r="AE704" s="1186"/>
      <c r="AF704" s="1186"/>
      <c r="AG704" s="1187"/>
      <c r="AH704" s="1197"/>
      <c r="AI704" s="1198"/>
      <c r="AJ704" s="1198"/>
      <c r="AK704" s="1198"/>
      <c r="AL704" s="1199"/>
      <c r="AM704" s="1386" t="str">
        <f t="shared" si="30"/>
        <v xml:space="preserve"> </v>
      </c>
      <c r="AN704" s="1387"/>
      <c r="AO704" s="1388"/>
      <c r="BA704" s="37"/>
      <c r="BB704" s="37"/>
      <c r="BC704" s="37"/>
      <c r="BD704" s="37"/>
      <c r="BE704" s="37"/>
      <c r="BF704" s="37"/>
      <c r="BG704" s="37"/>
      <c r="BH704" s="37"/>
      <c r="BI704" s="37"/>
      <c r="BJ704" s="37"/>
      <c r="BK704" s="37"/>
      <c r="BL704" s="37"/>
      <c r="BM704" s="37"/>
      <c r="BN704" s="37"/>
      <c r="BO704" s="37"/>
      <c r="BP704" s="495" t="s">
        <v>902</v>
      </c>
      <c r="BQ704" s="494">
        <v>2372</v>
      </c>
      <c r="BR704" s="494">
        <v>2540</v>
      </c>
      <c r="BS704" s="494">
        <v>3050</v>
      </c>
      <c r="BT704" s="494">
        <v>3522</v>
      </c>
      <c r="BU704" s="494">
        <v>3930</v>
      </c>
      <c r="BV704" s="494">
        <v>4336</v>
      </c>
      <c r="BX704" s="37"/>
      <c r="BY704" s="37"/>
      <c r="BZ704" s="37"/>
      <c r="CA704" s="37"/>
      <c r="CB704" s="37"/>
      <c r="CC704" s="37"/>
      <c r="CD704" s="37"/>
      <c r="CE704" s="37"/>
      <c r="CF704" s="37"/>
      <c r="CG704" s="37"/>
      <c r="CH704" s="37"/>
      <c r="CI704" s="37"/>
      <c r="CJ704" s="37"/>
      <c r="CK704" s="37"/>
      <c r="CL704" s="37"/>
      <c r="CM704" s="37"/>
      <c r="CN704" s="37"/>
      <c r="CO704" s="37"/>
      <c r="CP704" s="37"/>
      <c r="CQ704" s="37"/>
      <c r="CR704" s="37"/>
    </row>
    <row r="705" spans="2:97" ht="13.35" customHeight="1">
      <c r="B705" s="1174"/>
      <c r="C705" s="1175"/>
      <c r="D705" s="1175"/>
      <c r="E705" s="1175"/>
      <c r="F705" s="1176"/>
      <c r="G705" s="1171"/>
      <c r="H705" s="1172"/>
      <c r="I705" s="1172"/>
      <c r="J705" s="1173"/>
      <c r="K705" s="1179"/>
      <c r="L705" s="1180"/>
      <c r="M705" s="1180"/>
      <c r="N705" s="1181"/>
      <c r="O705" s="1182"/>
      <c r="P705" s="1183"/>
      <c r="Q705" s="1183"/>
      <c r="R705" s="1183"/>
      <c r="S705" s="1184"/>
      <c r="T705" s="1185">
        <f t="shared" si="28"/>
        <v>0</v>
      </c>
      <c r="U705" s="1186"/>
      <c r="V705" s="1186"/>
      <c r="W705" s="1186"/>
      <c r="X705" s="1187"/>
      <c r="Y705" s="1182"/>
      <c r="Z705" s="1183"/>
      <c r="AA705" s="1183"/>
      <c r="AB705" s="1184"/>
      <c r="AC705" s="1185">
        <f t="shared" si="29"/>
        <v>0</v>
      </c>
      <c r="AD705" s="1186"/>
      <c r="AE705" s="1186"/>
      <c r="AF705" s="1186"/>
      <c r="AG705" s="1187"/>
      <c r="AH705" s="1197"/>
      <c r="AI705" s="1198"/>
      <c r="AJ705" s="1198"/>
      <c r="AK705" s="1198"/>
      <c r="AL705" s="1199"/>
      <c r="AM705" s="1386" t="str">
        <f t="shared" si="30"/>
        <v xml:space="preserve"> </v>
      </c>
      <c r="AN705" s="1387"/>
      <c r="AO705" s="1388"/>
      <c r="BA705" s="37"/>
      <c r="BB705" s="37"/>
      <c r="BC705" s="37"/>
      <c r="BD705" s="37"/>
      <c r="BE705" s="37"/>
      <c r="BF705" s="37"/>
      <c r="BG705" s="754" t="s">
        <v>1452</v>
      </c>
      <c r="BH705" s="755"/>
      <c r="BI705" s="755"/>
      <c r="BJ705" s="37"/>
      <c r="BK705" s="37"/>
      <c r="BL705" s="37"/>
      <c r="BM705" s="37"/>
      <c r="BN705" s="37"/>
      <c r="BO705" s="37"/>
      <c r="BP705" s="495" t="s">
        <v>904</v>
      </c>
      <c r="BQ705" s="494">
        <v>1774</v>
      </c>
      <c r="BR705" s="494">
        <v>1900</v>
      </c>
      <c r="BS705" s="494">
        <v>2280</v>
      </c>
      <c r="BT705" s="494">
        <v>2634</v>
      </c>
      <c r="BU705" s="494">
        <v>2940</v>
      </c>
      <c r="BV705" s="494">
        <v>3242</v>
      </c>
      <c r="BX705" s="37"/>
      <c r="BY705" s="37"/>
      <c r="BZ705" s="37"/>
      <c r="CA705" s="37"/>
      <c r="CB705" s="37"/>
      <c r="CC705" s="37"/>
      <c r="CD705" s="37"/>
      <c r="CE705" s="37"/>
      <c r="CF705" s="37"/>
      <c r="CG705" s="37"/>
      <c r="CH705" s="37"/>
      <c r="CI705" s="37"/>
      <c r="CJ705" s="37"/>
      <c r="CK705" s="37"/>
      <c r="CL705" s="37"/>
      <c r="CM705" s="37"/>
      <c r="CN705" s="37"/>
      <c r="CO705" s="37"/>
      <c r="CP705" s="37"/>
      <c r="CQ705" s="37"/>
      <c r="CR705" s="37"/>
    </row>
    <row r="706" spans="2:97" ht="13.35" customHeight="1">
      <c r="B706" s="1174"/>
      <c r="C706" s="1175"/>
      <c r="D706" s="1175"/>
      <c r="E706" s="1175"/>
      <c r="F706" s="1176"/>
      <c r="G706" s="1171"/>
      <c r="H706" s="1172"/>
      <c r="I706" s="1172"/>
      <c r="J706" s="1173"/>
      <c r="K706" s="1179"/>
      <c r="L706" s="1180"/>
      <c r="M706" s="1180"/>
      <c r="N706" s="1181"/>
      <c r="O706" s="1182"/>
      <c r="P706" s="1183"/>
      <c r="Q706" s="1183"/>
      <c r="R706" s="1183"/>
      <c r="S706" s="1184"/>
      <c r="T706" s="1185">
        <f t="shared" si="28"/>
        <v>0</v>
      </c>
      <c r="U706" s="1186"/>
      <c r="V706" s="1186"/>
      <c r="W706" s="1186"/>
      <c r="X706" s="1187"/>
      <c r="Y706" s="1182"/>
      <c r="Z706" s="1183"/>
      <c r="AA706" s="1183"/>
      <c r="AB706" s="1184"/>
      <c r="AC706" s="1185">
        <f t="shared" si="29"/>
        <v>0</v>
      </c>
      <c r="AD706" s="1186"/>
      <c r="AE706" s="1186"/>
      <c r="AF706" s="1186"/>
      <c r="AG706" s="1187"/>
      <c r="AH706" s="1197"/>
      <c r="AI706" s="1198"/>
      <c r="AJ706" s="1198"/>
      <c r="AK706" s="1198"/>
      <c r="AL706" s="1199"/>
      <c r="AM706" s="1386" t="str">
        <f t="shared" si="30"/>
        <v xml:space="preserve"> </v>
      </c>
      <c r="AN706" s="1387"/>
      <c r="AO706" s="1388"/>
      <c r="BA706" s="37"/>
      <c r="BB706" s="37"/>
      <c r="BC706" s="37"/>
      <c r="BD706" s="37"/>
      <c r="BE706" s="37"/>
      <c r="BF706" s="37"/>
      <c r="BG706" s="756" t="s">
        <v>1437</v>
      </c>
      <c r="BH706" s="757" t="s">
        <v>1438</v>
      </c>
      <c r="BI706" s="758" t="s">
        <v>1439</v>
      </c>
      <c r="BJ706" s="37"/>
      <c r="BK706" s="37"/>
      <c r="BL706" s="37"/>
      <c r="BM706" s="37"/>
      <c r="BN706" s="37"/>
      <c r="BO706" s="37"/>
      <c r="BP706" s="495" t="s">
        <v>906</v>
      </c>
      <c r="BQ706" s="494">
        <v>1430</v>
      </c>
      <c r="BR706" s="494">
        <v>1532</v>
      </c>
      <c r="BS706" s="494">
        <v>1840</v>
      </c>
      <c r="BT706" s="494">
        <v>2124</v>
      </c>
      <c r="BU706" s="494">
        <v>2370</v>
      </c>
      <c r="BV706" s="494">
        <v>2616</v>
      </c>
      <c r="BX706" s="37"/>
      <c r="BY706" s="37"/>
      <c r="BZ706" s="37"/>
      <c r="CA706" s="37"/>
      <c r="CB706" s="37"/>
      <c r="CC706" s="37"/>
      <c r="CD706" s="37"/>
      <c r="CE706" s="37"/>
      <c r="CF706" s="37"/>
      <c r="CG706" s="37"/>
      <c r="CH706" s="37"/>
      <c r="CI706" s="37"/>
      <c r="CJ706" s="37"/>
      <c r="CK706" s="37"/>
      <c r="CL706" s="37"/>
      <c r="CM706" s="37"/>
      <c r="CN706" s="37"/>
      <c r="CO706" s="37"/>
      <c r="CP706" s="37"/>
      <c r="CQ706" s="37"/>
      <c r="CR706" s="37"/>
    </row>
    <row r="707" spans="2:97" ht="13.35" customHeight="1">
      <c r="B707" s="1174"/>
      <c r="C707" s="1175"/>
      <c r="D707" s="1175"/>
      <c r="E707" s="1175"/>
      <c r="F707" s="1176"/>
      <c r="G707" s="1171"/>
      <c r="H707" s="1172"/>
      <c r="I707" s="1172"/>
      <c r="J707" s="1173"/>
      <c r="K707" s="1179"/>
      <c r="L707" s="1180"/>
      <c r="M707" s="1180"/>
      <c r="N707" s="1181"/>
      <c r="O707" s="1182"/>
      <c r="P707" s="1183"/>
      <c r="Q707" s="1183"/>
      <c r="R707" s="1183"/>
      <c r="S707" s="1184"/>
      <c r="T707" s="1185">
        <f t="shared" si="28"/>
        <v>0</v>
      </c>
      <c r="U707" s="1186"/>
      <c r="V707" s="1186"/>
      <c r="W707" s="1186"/>
      <c r="X707" s="1187"/>
      <c r="Y707" s="1182"/>
      <c r="Z707" s="1183"/>
      <c r="AA707" s="1183"/>
      <c r="AB707" s="1184"/>
      <c r="AC707" s="1185">
        <f t="shared" si="29"/>
        <v>0</v>
      </c>
      <c r="AD707" s="1186"/>
      <c r="AE707" s="1186"/>
      <c r="AF707" s="1186"/>
      <c r="AG707" s="1187"/>
      <c r="AH707" s="1197"/>
      <c r="AI707" s="1198"/>
      <c r="AJ707" s="1198"/>
      <c r="AK707" s="1198"/>
      <c r="AL707" s="1199"/>
      <c r="AM707" s="1386" t="str">
        <f t="shared" si="30"/>
        <v xml:space="preserve"> </v>
      </c>
      <c r="AN707" s="1387"/>
      <c r="AO707" s="1388"/>
      <c r="BA707" s="37"/>
      <c r="BB707" s="37"/>
      <c r="BC707" s="37"/>
      <c r="BD707" s="37"/>
      <c r="BE707" s="37"/>
      <c r="BF707" s="37"/>
      <c r="BG707" s="759">
        <f>G692</f>
        <v>22</v>
      </c>
      <c r="BH707" s="763">
        <f>BG707/$BG$732</f>
        <v>0.51162790697674421</v>
      </c>
      <c r="BI707" s="764">
        <f>IF(BH707=0," ",BH707*AM692)</f>
        <v>0.1534392715261349</v>
      </c>
      <c r="BJ707" s="37"/>
      <c r="BK707" s="37"/>
      <c r="BL707" s="37"/>
      <c r="BM707" s="37"/>
      <c r="BN707" s="37"/>
      <c r="BO707" s="37"/>
      <c r="BP707" s="495" t="s">
        <v>910</v>
      </c>
      <c r="BQ707" s="494">
        <v>1540</v>
      </c>
      <c r="BR707" s="494">
        <v>1650</v>
      </c>
      <c r="BS707" s="494">
        <v>1980</v>
      </c>
      <c r="BT707" s="494">
        <v>2288</v>
      </c>
      <c r="BU707" s="494">
        <v>2552</v>
      </c>
      <c r="BV707" s="494">
        <v>2816</v>
      </c>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row>
    <row r="708" spans="2:97" ht="13.35" customHeight="1">
      <c r="B708" s="1174"/>
      <c r="C708" s="1175"/>
      <c r="D708" s="1175"/>
      <c r="E708" s="1175"/>
      <c r="F708" s="1176"/>
      <c r="G708" s="1171"/>
      <c r="H708" s="1172"/>
      <c r="I708" s="1172"/>
      <c r="J708" s="1173"/>
      <c r="K708" s="1179"/>
      <c r="L708" s="1180"/>
      <c r="M708" s="1180"/>
      <c r="N708" s="1181"/>
      <c r="O708" s="1182"/>
      <c r="P708" s="1183"/>
      <c r="Q708" s="1183"/>
      <c r="R708" s="1183"/>
      <c r="S708" s="1184"/>
      <c r="T708" s="1185">
        <f t="shared" si="28"/>
        <v>0</v>
      </c>
      <c r="U708" s="1186"/>
      <c r="V708" s="1186"/>
      <c r="W708" s="1186"/>
      <c r="X708" s="1187"/>
      <c r="Y708" s="1182"/>
      <c r="Z708" s="1183"/>
      <c r="AA708" s="1183"/>
      <c r="AB708" s="1184"/>
      <c r="AC708" s="1185">
        <f t="shared" si="29"/>
        <v>0</v>
      </c>
      <c r="AD708" s="1186"/>
      <c r="AE708" s="1186"/>
      <c r="AF708" s="1186"/>
      <c r="AG708" s="1187"/>
      <c r="AH708" s="1197"/>
      <c r="AI708" s="1198"/>
      <c r="AJ708" s="1198"/>
      <c r="AK708" s="1198"/>
      <c r="AL708" s="1199"/>
      <c r="AM708" s="1386" t="str">
        <f t="shared" si="30"/>
        <v xml:space="preserve"> </v>
      </c>
      <c r="AN708" s="1387"/>
      <c r="AO708" s="1388"/>
      <c r="BA708" s="37"/>
      <c r="BB708" s="37"/>
      <c r="BC708" s="37"/>
      <c r="BD708" s="37"/>
      <c r="BE708" s="37"/>
      <c r="BF708" s="37"/>
      <c r="BG708" s="759">
        <f t="shared" ref="BG708:BG731" si="31">G693</f>
        <v>21</v>
      </c>
      <c r="BH708" s="763">
        <f t="shared" ref="BH708:BH731" si="32">BG708/$BG$732</f>
        <v>0.48837209302325579</v>
      </c>
      <c r="BI708" s="764">
        <f t="shared" ref="BI708:BI731" si="33">IF(BH708=0," ",BH708*AM693)</f>
        <v>0.19520823104048562</v>
      </c>
      <c r="BJ708" s="37"/>
      <c r="BK708" s="37"/>
      <c r="BL708" s="37"/>
      <c r="BM708" s="37"/>
      <c r="BN708" s="37"/>
      <c r="BO708" s="37"/>
      <c r="BP708" s="495" t="s">
        <v>915</v>
      </c>
      <c r="BQ708" s="494">
        <v>1774</v>
      </c>
      <c r="BR708" s="494">
        <v>1900</v>
      </c>
      <c r="BS708" s="494">
        <v>2280</v>
      </c>
      <c r="BT708" s="494">
        <v>2634</v>
      </c>
      <c r="BU708" s="494">
        <v>2940</v>
      </c>
      <c r="BV708" s="494">
        <v>3242</v>
      </c>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row>
    <row r="709" spans="2:97" ht="13.35" customHeight="1">
      <c r="B709" s="1174"/>
      <c r="C709" s="1175"/>
      <c r="D709" s="1175"/>
      <c r="E709" s="1175"/>
      <c r="F709" s="1176"/>
      <c r="G709" s="1171"/>
      <c r="H709" s="1172"/>
      <c r="I709" s="1172"/>
      <c r="J709" s="1173"/>
      <c r="K709" s="1179"/>
      <c r="L709" s="1180"/>
      <c r="M709" s="1180"/>
      <c r="N709" s="1181"/>
      <c r="O709" s="1182"/>
      <c r="P709" s="1183"/>
      <c r="Q709" s="1183"/>
      <c r="R709" s="1183"/>
      <c r="S709" s="1184"/>
      <c r="T709" s="1185">
        <f t="shared" si="28"/>
        <v>0</v>
      </c>
      <c r="U709" s="1186"/>
      <c r="V709" s="1186"/>
      <c r="W709" s="1186"/>
      <c r="X709" s="1187"/>
      <c r="Y709" s="1182"/>
      <c r="Z709" s="1183"/>
      <c r="AA709" s="1183"/>
      <c r="AB709" s="1184"/>
      <c r="AC709" s="1185">
        <f t="shared" si="29"/>
        <v>0</v>
      </c>
      <c r="AD709" s="1186"/>
      <c r="AE709" s="1186"/>
      <c r="AF709" s="1186"/>
      <c r="AG709" s="1187"/>
      <c r="AH709" s="1197"/>
      <c r="AI709" s="1198"/>
      <c r="AJ709" s="1198"/>
      <c r="AK709" s="1198"/>
      <c r="AL709" s="1199"/>
      <c r="AM709" s="1386" t="str">
        <f t="shared" si="30"/>
        <v xml:space="preserve"> </v>
      </c>
      <c r="AN709" s="1387"/>
      <c r="AO709" s="1388"/>
      <c r="BA709" s="37"/>
      <c r="BB709" s="37"/>
      <c r="BC709" s="37"/>
      <c r="BD709" s="37"/>
      <c r="BE709" s="37"/>
      <c r="BF709" s="37"/>
      <c r="BG709" s="759">
        <f t="shared" si="31"/>
        <v>0</v>
      </c>
      <c r="BH709" s="763">
        <f t="shared" si="32"/>
        <v>0</v>
      </c>
      <c r="BI709" s="764" t="str">
        <f t="shared" si="33"/>
        <v xml:space="preserve"> </v>
      </c>
      <c r="BJ709" s="37"/>
      <c r="BK709" s="37"/>
      <c r="BL709" s="37"/>
      <c r="BM709" s="37"/>
      <c r="BN709" s="37"/>
      <c r="BO709" s="37"/>
      <c r="BP709" s="495" t="s">
        <v>920</v>
      </c>
      <c r="BQ709" s="494">
        <v>1840</v>
      </c>
      <c r="BR709" s="494">
        <v>1970</v>
      </c>
      <c r="BS709" s="494">
        <v>2364</v>
      </c>
      <c r="BT709" s="494">
        <v>2732</v>
      </c>
      <c r="BU709" s="494">
        <v>3050</v>
      </c>
      <c r="BV709" s="494">
        <v>3364</v>
      </c>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row>
    <row r="710" spans="2:97" ht="13.35" customHeight="1">
      <c r="B710" s="1174"/>
      <c r="C710" s="1175"/>
      <c r="D710" s="1175"/>
      <c r="E710" s="1175"/>
      <c r="F710" s="1176"/>
      <c r="G710" s="1171"/>
      <c r="H710" s="1172"/>
      <c r="I710" s="1172"/>
      <c r="J710" s="1173"/>
      <c r="K710" s="1179"/>
      <c r="L710" s="1180"/>
      <c r="M710" s="1180"/>
      <c r="N710" s="1181"/>
      <c r="O710" s="1182"/>
      <c r="P710" s="1183"/>
      <c r="Q710" s="1183"/>
      <c r="R710" s="1183"/>
      <c r="S710" s="1184"/>
      <c r="T710" s="1185">
        <f t="shared" si="28"/>
        <v>0</v>
      </c>
      <c r="U710" s="1186"/>
      <c r="V710" s="1186"/>
      <c r="W710" s="1186"/>
      <c r="X710" s="1187"/>
      <c r="Y710" s="1182"/>
      <c r="Z710" s="1183"/>
      <c r="AA710" s="1183"/>
      <c r="AB710" s="1184"/>
      <c r="AC710" s="1185">
        <f t="shared" si="29"/>
        <v>0</v>
      </c>
      <c r="AD710" s="1186"/>
      <c r="AE710" s="1186"/>
      <c r="AF710" s="1186"/>
      <c r="AG710" s="1187"/>
      <c r="AH710" s="1197"/>
      <c r="AI710" s="1198"/>
      <c r="AJ710" s="1198"/>
      <c r="AK710" s="1198"/>
      <c r="AL710" s="1199"/>
      <c r="AM710" s="1386" t="str">
        <f t="shared" si="30"/>
        <v xml:space="preserve"> </v>
      </c>
      <c r="AN710" s="1387"/>
      <c r="AO710" s="1388"/>
      <c r="BA710" s="37"/>
      <c r="BB710" s="37"/>
      <c r="BC710" s="37"/>
      <c r="BD710" s="37"/>
      <c r="BE710" s="37"/>
      <c r="BF710" s="37"/>
      <c r="BG710" s="759">
        <f t="shared" si="31"/>
        <v>0</v>
      </c>
      <c r="BH710" s="763">
        <f t="shared" si="32"/>
        <v>0</v>
      </c>
      <c r="BI710" s="764" t="str">
        <f t="shared" si="33"/>
        <v xml:space="preserve"> </v>
      </c>
      <c r="BJ710" s="37"/>
      <c r="BK710" s="37"/>
      <c r="BL710" s="37"/>
      <c r="BM710" s="37"/>
      <c r="BN710" s="37"/>
      <c r="BO710" s="37"/>
      <c r="BP710" s="495" t="s">
        <v>924</v>
      </c>
      <c r="BQ710" s="494">
        <v>1540</v>
      </c>
      <c r="BR710" s="494">
        <v>1650</v>
      </c>
      <c r="BS710" s="494">
        <v>1980</v>
      </c>
      <c r="BT710" s="494">
        <v>2288</v>
      </c>
      <c r="BU710" s="494">
        <v>2552</v>
      </c>
      <c r="BV710" s="494">
        <v>2816</v>
      </c>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row>
    <row r="711" spans="2:97" ht="13.35" customHeight="1">
      <c r="B711" s="1174"/>
      <c r="C711" s="1175"/>
      <c r="D711" s="1175"/>
      <c r="E711" s="1175"/>
      <c r="F711" s="1176"/>
      <c r="G711" s="1171"/>
      <c r="H711" s="1172"/>
      <c r="I711" s="1172"/>
      <c r="J711" s="1173"/>
      <c r="K711" s="1179"/>
      <c r="L711" s="1180"/>
      <c r="M711" s="1180"/>
      <c r="N711" s="1181"/>
      <c r="O711" s="1182"/>
      <c r="P711" s="1183"/>
      <c r="Q711" s="1183"/>
      <c r="R711" s="1183"/>
      <c r="S711" s="1184"/>
      <c r="T711" s="1185">
        <f t="shared" si="28"/>
        <v>0</v>
      </c>
      <c r="U711" s="1186"/>
      <c r="V711" s="1186"/>
      <c r="W711" s="1186"/>
      <c r="X711" s="1187"/>
      <c r="Y711" s="1182"/>
      <c r="Z711" s="1183"/>
      <c r="AA711" s="1183"/>
      <c r="AB711" s="1184"/>
      <c r="AC711" s="1185">
        <f t="shared" si="29"/>
        <v>0</v>
      </c>
      <c r="AD711" s="1186"/>
      <c r="AE711" s="1186"/>
      <c r="AF711" s="1186"/>
      <c r="AG711" s="1187"/>
      <c r="AH711" s="1197"/>
      <c r="AI711" s="1198"/>
      <c r="AJ711" s="1198"/>
      <c r="AK711" s="1198"/>
      <c r="AL711" s="1199"/>
      <c r="AM711" s="1386" t="str">
        <f t="shared" si="30"/>
        <v xml:space="preserve"> </v>
      </c>
      <c r="AN711" s="1387"/>
      <c r="AO711" s="1388"/>
      <c r="BA711" s="37"/>
      <c r="BB711" s="37"/>
      <c r="BC711" s="37"/>
      <c r="BD711" s="37"/>
      <c r="BE711" s="37"/>
      <c r="BF711" s="37"/>
      <c r="BG711" s="759">
        <f t="shared" si="31"/>
        <v>0</v>
      </c>
      <c r="BH711" s="763">
        <f t="shared" si="32"/>
        <v>0</v>
      </c>
      <c r="BI711" s="764" t="str">
        <f t="shared" si="33"/>
        <v xml:space="preserve"> </v>
      </c>
      <c r="BJ711" s="37"/>
      <c r="BK711" s="37"/>
      <c r="BL711" s="37"/>
      <c r="BM711" s="37"/>
      <c r="BN711" s="37"/>
      <c r="BO711" s="37"/>
      <c r="BP711" s="495" t="s">
        <v>930</v>
      </c>
      <c r="BQ711" s="494">
        <v>2276</v>
      </c>
      <c r="BR711" s="494">
        <v>2440</v>
      </c>
      <c r="BS711" s="494">
        <v>2926</v>
      </c>
      <c r="BT711" s="494">
        <v>3382</v>
      </c>
      <c r="BU711" s="494">
        <v>3774</v>
      </c>
      <c r="BV711" s="494">
        <v>4164</v>
      </c>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row>
    <row r="712" spans="2:97" ht="13.35" customHeight="1">
      <c r="B712" s="1174"/>
      <c r="C712" s="1175"/>
      <c r="D712" s="1175"/>
      <c r="E712" s="1175"/>
      <c r="F712" s="1176"/>
      <c r="G712" s="1171"/>
      <c r="H712" s="1172"/>
      <c r="I712" s="1172"/>
      <c r="J712" s="1173"/>
      <c r="K712" s="1179"/>
      <c r="L712" s="1180"/>
      <c r="M712" s="1180"/>
      <c r="N712" s="1181"/>
      <c r="O712" s="1182"/>
      <c r="P712" s="1183"/>
      <c r="Q712" s="1183"/>
      <c r="R712" s="1183"/>
      <c r="S712" s="1184"/>
      <c r="T712" s="1185">
        <f t="shared" si="28"/>
        <v>0</v>
      </c>
      <c r="U712" s="1186"/>
      <c r="V712" s="1186"/>
      <c r="W712" s="1186"/>
      <c r="X712" s="1187"/>
      <c r="Y712" s="1182"/>
      <c r="Z712" s="1183"/>
      <c r="AA712" s="1183"/>
      <c r="AB712" s="1184"/>
      <c r="AC712" s="1185">
        <f t="shared" si="29"/>
        <v>0</v>
      </c>
      <c r="AD712" s="1186"/>
      <c r="AE712" s="1186"/>
      <c r="AF712" s="1186"/>
      <c r="AG712" s="1187"/>
      <c r="AH712" s="1197"/>
      <c r="AI712" s="1198"/>
      <c r="AJ712" s="1198"/>
      <c r="AK712" s="1198"/>
      <c r="AL712" s="1199"/>
      <c r="AM712" s="1386" t="str">
        <f t="shared" si="30"/>
        <v xml:space="preserve"> </v>
      </c>
      <c r="AN712" s="1387"/>
      <c r="AO712" s="1388"/>
      <c r="BA712" s="37"/>
      <c r="BB712" s="37"/>
      <c r="BC712" s="37"/>
      <c r="BD712" s="37"/>
      <c r="BE712" s="37"/>
      <c r="BF712" s="37"/>
      <c r="BG712" s="759">
        <f t="shared" si="31"/>
        <v>0</v>
      </c>
      <c r="BH712" s="763">
        <f t="shared" si="32"/>
        <v>0</v>
      </c>
      <c r="BI712" s="764" t="str">
        <f t="shared" si="33"/>
        <v xml:space="preserve"> </v>
      </c>
      <c r="BJ712" s="37"/>
      <c r="BK712" s="37"/>
      <c r="BL712" s="37"/>
      <c r="BM712" s="37"/>
      <c r="BN712" s="37"/>
      <c r="BO712" s="37"/>
      <c r="BP712" s="495" t="s">
        <v>935</v>
      </c>
      <c r="BQ712" s="494">
        <v>3262</v>
      </c>
      <c r="BR712" s="494">
        <v>3496</v>
      </c>
      <c r="BS712" s="494">
        <v>4194</v>
      </c>
      <c r="BT712" s="494">
        <v>4846</v>
      </c>
      <c r="BU712" s="494">
        <v>5406</v>
      </c>
      <c r="BV712" s="494">
        <v>5966</v>
      </c>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row>
    <row r="713" spans="2:97" ht="13.35" customHeight="1">
      <c r="B713" s="1174"/>
      <c r="C713" s="1175"/>
      <c r="D713" s="1175"/>
      <c r="E713" s="1175"/>
      <c r="F713" s="1176"/>
      <c r="G713" s="1171"/>
      <c r="H713" s="1172"/>
      <c r="I713" s="1172"/>
      <c r="J713" s="1173"/>
      <c r="K713" s="1179"/>
      <c r="L713" s="1180"/>
      <c r="M713" s="1180"/>
      <c r="N713" s="1181"/>
      <c r="O713" s="1182"/>
      <c r="P713" s="1183"/>
      <c r="Q713" s="1183"/>
      <c r="R713" s="1183"/>
      <c r="S713" s="1184"/>
      <c r="T713" s="1185">
        <f t="shared" si="28"/>
        <v>0</v>
      </c>
      <c r="U713" s="1186"/>
      <c r="V713" s="1186"/>
      <c r="W713" s="1186"/>
      <c r="X713" s="1187"/>
      <c r="Y713" s="1182"/>
      <c r="Z713" s="1183"/>
      <c r="AA713" s="1183"/>
      <c r="AB713" s="1184"/>
      <c r="AC713" s="1185">
        <f t="shared" si="29"/>
        <v>0</v>
      </c>
      <c r="AD713" s="1186"/>
      <c r="AE713" s="1186"/>
      <c r="AF713" s="1186"/>
      <c r="AG713" s="1187"/>
      <c r="AH713" s="1197"/>
      <c r="AI713" s="1198"/>
      <c r="AJ713" s="1198"/>
      <c r="AK713" s="1198"/>
      <c r="AL713" s="1199"/>
      <c r="AM713" s="1386" t="str">
        <f t="shared" si="30"/>
        <v xml:space="preserve"> </v>
      </c>
      <c r="AN713" s="1387"/>
      <c r="AO713" s="1388"/>
      <c r="BA713" s="37"/>
      <c r="BB713" s="37"/>
      <c r="BC713" s="37"/>
      <c r="BD713" s="37"/>
      <c r="BE713" s="37"/>
      <c r="BF713" s="37"/>
      <c r="BG713" s="759">
        <f t="shared" si="31"/>
        <v>0</v>
      </c>
      <c r="BH713" s="763">
        <f t="shared" si="32"/>
        <v>0</v>
      </c>
      <c r="BI713" s="764" t="str">
        <f t="shared" si="33"/>
        <v xml:space="preserve"> </v>
      </c>
      <c r="BJ713" s="37"/>
      <c r="BK713" s="37"/>
      <c r="BL713" s="37"/>
      <c r="BM713" s="37"/>
      <c r="BN713" s="37"/>
      <c r="BO713" s="37"/>
      <c r="BP713" s="495" t="s">
        <v>940</v>
      </c>
      <c r="BQ713" s="494">
        <v>1450</v>
      </c>
      <c r="BR713" s="494">
        <v>1552</v>
      </c>
      <c r="BS713" s="494">
        <v>1864</v>
      </c>
      <c r="BT713" s="494">
        <v>2152</v>
      </c>
      <c r="BU713" s="494">
        <v>2402</v>
      </c>
      <c r="BV713" s="494">
        <v>2650</v>
      </c>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row>
    <row r="714" spans="2:97" ht="13.35" customHeight="1">
      <c r="B714" s="1174"/>
      <c r="C714" s="1175"/>
      <c r="D714" s="1175"/>
      <c r="E714" s="1175"/>
      <c r="F714" s="1176"/>
      <c r="G714" s="1171"/>
      <c r="H714" s="1172"/>
      <c r="I714" s="1172"/>
      <c r="J714" s="1173"/>
      <c r="K714" s="1179"/>
      <c r="L714" s="1180"/>
      <c r="M714" s="1180"/>
      <c r="N714" s="1181"/>
      <c r="O714" s="1182"/>
      <c r="P714" s="1183"/>
      <c r="Q714" s="1183"/>
      <c r="R714" s="1183"/>
      <c r="S714" s="1184"/>
      <c r="T714" s="1185">
        <f t="shared" si="28"/>
        <v>0</v>
      </c>
      <c r="U714" s="1186"/>
      <c r="V714" s="1186"/>
      <c r="W714" s="1186"/>
      <c r="X714" s="1187"/>
      <c r="Y714" s="1182"/>
      <c r="Z714" s="1183"/>
      <c r="AA714" s="1183"/>
      <c r="AB714" s="1184"/>
      <c r="AC714" s="1185">
        <f t="shared" si="29"/>
        <v>0</v>
      </c>
      <c r="AD714" s="1186"/>
      <c r="AE714" s="1186"/>
      <c r="AF714" s="1186"/>
      <c r="AG714" s="1187"/>
      <c r="AH714" s="1197"/>
      <c r="AI714" s="1198"/>
      <c r="AJ714" s="1198"/>
      <c r="AK714" s="1198"/>
      <c r="AL714" s="1199"/>
      <c r="AM714" s="1386" t="str">
        <f t="shared" si="30"/>
        <v xml:space="preserve"> </v>
      </c>
      <c r="AN714" s="1387"/>
      <c r="AO714" s="1388"/>
      <c r="BA714" s="3"/>
      <c r="BB714" s="37"/>
      <c r="BC714" s="37"/>
      <c r="BD714" s="37"/>
      <c r="BE714" s="37"/>
      <c r="BF714" s="37"/>
      <c r="BG714" s="759">
        <f t="shared" si="31"/>
        <v>0</v>
      </c>
      <c r="BH714" s="763">
        <f t="shared" si="32"/>
        <v>0</v>
      </c>
      <c r="BI714" s="764" t="str">
        <f t="shared" si="33"/>
        <v xml:space="preserve"> </v>
      </c>
      <c r="BJ714" s="37"/>
      <c r="BK714" s="37"/>
      <c r="BL714" s="37"/>
      <c r="BM714" s="37"/>
      <c r="BN714" s="37"/>
      <c r="BO714" s="37"/>
      <c r="BP714" s="495" t="s">
        <v>944</v>
      </c>
      <c r="BQ714" s="494">
        <v>1914</v>
      </c>
      <c r="BR714" s="494">
        <v>2052</v>
      </c>
      <c r="BS714" s="494">
        <v>2462</v>
      </c>
      <c r="BT714" s="494">
        <v>2844</v>
      </c>
      <c r="BU714" s="494">
        <v>3174</v>
      </c>
      <c r="BV714" s="494">
        <v>3502</v>
      </c>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row>
    <row r="715" spans="2:97" ht="13.35" customHeight="1">
      <c r="B715" s="1174"/>
      <c r="C715" s="1175"/>
      <c r="D715" s="1175"/>
      <c r="E715" s="1175"/>
      <c r="F715" s="1176"/>
      <c r="G715" s="1171"/>
      <c r="H715" s="1172"/>
      <c r="I715" s="1172"/>
      <c r="J715" s="1173"/>
      <c r="K715" s="1179"/>
      <c r="L715" s="1180"/>
      <c r="M715" s="1180"/>
      <c r="N715" s="1181"/>
      <c r="O715" s="1182"/>
      <c r="P715" s="1183"/>
      <c r="Q715" s="1183"/>
      <c r="R715" s="1183"/>
      <c r="S715" s="1184"/>
      <c r="T715" s="1185">
        <f t="shared" si="28"/>
        <v>0</v>
      </c>
      <c r="U715" s="1186"/>
      <c r="V715" s="1186"/>
      <c r="W715" s="1186"/>
      <c r="X715" s="1187"/>
      <c r="Y715" s="1182"/>
      <c r="Z715" s="1183"/>
      <c r="AA715" s="1183"/>
      <c r="AB715" s="1184"/>
      <c r="AC715" s="1185">
        <f t="shared" si="29"/>
        <v>0</v>
      </c>
      <c r="AD715" s="1186"/>
      <c r="AE715" s="1186"/>
      <c r="AF715" s="1186"/>
      <c r="AG715" s="1187"/>
      <c r="AH715" s="1197"/>
      <c r="AI715" s="1198"/>
      <c r="AJ715" s="1198"/>
      <c r="AK715" s="1198"/>
      <c r="AL715" s="1199"/>
      <c r="AM715" s="1386" t="str">
        <f t="shared" si="30"/>
        <v xml:space="preserve"> </v>
      </c>
      <c r="AN715" s="1387"/>
      <c r="AO715" s="1388"/>
      <c r="BA715" s="37"/>
      <c r="BB715" s="37"/>
      <c r="BC715" s="37"/>
      <c r="BD715" s="37"/>
      <c r="BE715" s="37"/>
      <c r="BF715" s="37"/>
      <c r="BG715" s="759">
        <f t="shared" si="31"/>
        <v>0</v>
      </c>
      <c r="BH715" s="763">
        <f t="shared" si="32"/>
        <v>0</v>
      </c>
      <c r="BI715" s="764" t="str">
        <f t="shared" si="33"/>
        <v xml:space="preserve"> </v>
      </c>
      <c r="BJ715" s="37"/>
      <c r="BK715" s="37"/>
      <c r="BL715" s="37"/>
      <c r="BM715" s="37"/>
      <c r="BN715" s="37"/>
      <c r="BO715" s="37"/>
      <c r="BP715" s="495" t="s">
        <v>948</v>
      </c>
      <c r="BQ715" s="494">
        <v>3262</v>
      </c>
      <c r="BR715" s="494">
        <v>3496</v>
      </c>
      <c r="BS715" s="494">
        <v>4194</v>
      </c>
      <c r="BT715" s="494">
        <v>4846</v>
      </c>
      <c r="BU715" s="494">
        <v>5406</v>
      </c>
      <c r="BV715" s="494">
        <v>5966</v>
      </c>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row>
    <row r="716" spans="2:97" ht="13.35" customHeight="1">
      <c r="B716" s="1174"/>
      <c r="C716" s="1175"/>
      <c r="D716" s="1175"/>
      <c r="E716" s="1175"/>
      <c r="F716" s="1176"/>
      <c r="G716" s="1171"/>
      <c r="H716" s="1172"/>
      <c r="I716" s="1172"/>
      <c r="J716" s="1173"/>
      <c r="K716" s="1179"/>
      <c r="L716" s="1180"/>
      <c r="M716" s="1180"/>
      <c r="N716" s="1181"/>
      <c r="O716" s="1182"/>
      <c r="P716" s="1183"/>
      <c r="Q716" s="1183"/>
      <c r="R716" s="1183"/>
      <c r="S716" s="1184"/>
      <c r="T716" s="1185">
        <f t="shared" si="28"/>
        <v>0</v>
      </c>
      <c r="U716" s="1186"/>
      <c r="V716" s="1186"/>
      <c r="W716" s="1186"/>
      <c r="X716" s="1187"/>
      <c r="Y716" s="1182"/>
      <c r="Z716" s="1183"/>
      <c r="AA716" s="1183"/>
      <c r="AB716" s="1184"/>
      <c r="AC716" s="1185">
        <f t="shared" si="29"/>
        <v>0</v>
      </c>
      <c r="AD716" s="1186"/>
      <c r="AE716" s="1186"/>
      <c r="AF716" s="1186"/>
      <c r="AG716" s="1187"/>
      <c r="AH716" s="1197"/>
      <c r="AI716" s="1198"/>
      <c r="AJ716" s="1198"/>
      <c r="AK716" s="1198"/>
      <c r="AL716" s="1199"/>
      <c r="AM716" s="1386" t="str">
        <f t="shared" si="30"/>
        <v xml:space="preserve"> </v>
      </c>
      <c r="AN716" s="1387"/>
      <c r="AO716" s="1388"/>
      <c r="BA716" s="37"/>
      <c r="BB716" s="37"/>
      <c r="BC716" s="37"/>
      <c r="BD716" s="37"/>
      <c r="BE716" s="37"/>
      <c r="BF716" s="37"/>
      <c r="BG716" s="759">
        <f t="shared" si="31"/>
        <v>0</v>
      </c>
      <c r="BH716" s="763">
        <f t="shared" si="32"/>
        <v>0</v>
      </c>
      <c r="BI716" s="764" t="str">
        <f t="shared" si="33"/>
        <v xml:space="preserve"> </v>
      </c>
      <c r="BJ716" s="37"/>
      <c r="BK716" s="37"/>
      <c r="BL716" s="37"/>
      <c r="BM716" s="37"/>
      <c r="BN716" s="37"/>
      <c r="BO716" s="37"/>
      <c r="BP716" s="495" t="s">
        <v>953</v>
      </c>
      <c r="BQ716" s="494">
        <v>2444</v>
      </c>
      <c r="BR716" s="494">
        <v>2620</v>
      </c>
      <c r="BS716" s="494">
        <v>3144</v>
      </c>
      <c r="BT716" s="494">
        <v>3632</v>
      </c>
      <c r="BU716" s="494">
        <v>4052</v>
      </c>
      <c r="BV716" s="494">
        <v>4472</v>
      </c>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row>
    <row r="717" spans="2:97" ht="13.35" customHeight="1">
      <c r="B717" s="1049" t="s">
        <v>1453</v>
      </c>
      <c r="C717" s="1050"/>
      <c r="D717" s="1050"/>
      <c r="E717" s="1050"/>
      <c r="F717" s="1052"/>
      <c r="G717" s="1209">
        <f>SUM(G692:J716)</f>
        <v>43</v>
      </c>
      <c r="H717" s="1210"/>
      <c r="I717" s="1210"/>
      <c r="J717" s="1211"/>
      <c r="O717" s="361" t="s">
        <v>1454</v>
      </c>
      <c r="P717" s="146"/>
      <c r="Q717" s="146"/>
      <c r="R717" s="146"/>
      <c r="S717" s="750"/>
      <c r="T717" s="1185">
        <f>SUM(T692:X716)</f>
        <v>29953</v>
      </c>
      <c r="U717" s="1186"/>
      <c r="V717" s="1186"/>
      <c r="W717" s="1186"/>
      <c r="X717" s="1187"/>
      <c r="AC717" s="751" t="s">
        <v>1455</v>
      </c>
      <c r="AD717" s="752"/>
      <c r="AE717" s="752"/>
      <c r="AF717" s="752"/>
      <c r="AG717" s="753"/>
      <c r="AH717" s="1442">
        <f>BI701</f>
        <v>0.39767441860465114</v>
      </c>
      <c r="AI717" s="1443"/>
      <c r="AJ717" s="1443"/>
      <c r="AK717" s="1443"/>
      <c r="AL717" s="1444"/>
      <c r="AM717" s="1442">
        <f>BI732</f>
        <v>0.34864750256662053</v>
      </c>
      <c r="AN717" s="1443"/>
      <c r="AO717" s="1444"/>
      <c r="BA717" s="37"/>
      <c r="BB717" s="37"/>
      <c r="BC717" s="37"/>
      <c r="BD717" s="37"/>
      <c r="BE717" s="37"/>
      <c r="BF717" s="37"/>
      <c r="BG717" s="759">
        <f t="shared" si="31"/>
        <v>0</v>
      </c>
      <c r="BH717" s="763">
        <f t="shared" si="32"/>
        <v>0</v>
      </c>
      <c r="BI717" s="764" t="str">
        <f t="shared" si="33"/>
        <v xml:space="preserve"> </v>
      </c>
      <c r="BJ717" s="37"/>
      <c r="BK717" s="37"/>
      <c r="BL717" s="37"/>
      <c r="BM717" s="37"/>
      <c r="BN717" s="37"/>
      <c r="BO717" s="37"/>
      <c r="BP717" s="495" t="s">
        <v>959</v>
      </c>
      <c r="BQ717" s="494">
        <v>2950</v>
      </c>
      <c r="BR717" s="494">
        <v>3160</v>
      </c>
      <c r="BS717" s="494">
        <v>3792</v>
      </c>
      <c r="BT717" s="494">
        <v>4380</v>
      </c>
      <c r="BU717" s="494">
        <v>4886</v>
      </c>
      <c r="BV717" s="494">
        <v>5392</v>
      </c>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row>
    <row r="718" spans="2:97" ht="13.35" customHeight="1">
      <c r="B718" s="55"/>
      <c r="C718" s="1056" t="s">
        <v>1456</v>
      </c>
      <c r="D718" s="1056"/>
      <c r="E718" s="1056"/>
      <c r="F718" s="1056"/>
      <c r="G718" s="1056"/>
      <c r="H718" s="1056"/>
      <c r="I718" s="1056"/>
      <c r="J718" s="1056"/>
      <c r="K718" s="1056"/>
      <c r="L718" s="1056"/>
      <c r="M718" s="1056"/>
      <c r="N718" s="1056"/>
      <c r="O718" s="1056"/>
      <c r="P718" s="1056"/>
      <c r="Q718" s="1056"/>
      <c r="R718" s="1056"/>
      <c r="S718" s="1056"/>
      <c r="T718" s="1056"/>
      <c r="U718" s="1056"/>
      <c r="V718" s="1056"/>
      <c r="W718" s="1056"/>
      <c r="X718" s="1056"/>
      <c r="Y718" s="1056"/>
      <c r="Z718" s="1056"/>
      <c r="AA718" s="1056"/>
      <c r="AB718" s="1056"/>
      <c r="AC718" s="1056"/>
      <c r="AD718" s="1056"/>
      <c r="AE718" s="1056"/>
      <c r="AF718" s="1056"/>
      <c r="AG718" s="1056"/>
      <c r="AH718" s="1056"/>
      <c r="AL718" s="37"/>
      <c r="AM718" s="37"/>
      <c r="BA718" s="37"/>
      <c r="BB718" s="37"/>
      <c r="BC718" s="37"/>
      <c r="BD718" s="37"/>
      <c r="BE718" s="37"/>
      <c r="BF718" s="37"/>
      <c r="BG718" s="759">
        <f t="shared" si="31"/>
        <v>0</v>
      </c>
      <c r="BH718" s="763">
        <f t="shared" si="32"/>
        <v>0</v>
      </c>
      <c r="BI718" s="764" t="str">
        <f t="shared" si="33"/>
        <v xml:space="preserve"> </v>
      </c>
      <c r="BJ718" s="37"/>
      <c r="BK718" s="37"/>
      <c r="BL718" s="37"/>
      <c r="BM718" s="37"/>
      <c r="BN718" s="37"/>
      <c r="BO718" s="37"/>
      <c r="BP718" s="495" t="s">
        <v>964</v>
      </c>
      <c r="BQ718" s="494">
        <v>2722</v>
      </c>
      <c r="BR718" s="494">
        <v>2916</v>
      </c>
      <c r="BS718" s="494">
        <v>3500</v>
      </c>
      <c r="BT718" s="494">
        <v>4042</v>
      </c>
      <c r="BU718" s="494">
        <v>4510</v>
      </c>
      <c r="BV718" s="494">
        <v>4976</v>
      </c>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row>
    <row r="719" spans="2:97" ht="13.35" customHeight="1">
      <c r="C719" s="1056"/>
      <c r="D719" s="1056"/>
      <c r="E719" s="1056"/>
      <c r="F719" s="1056"/>
      <c r="G719" s="1056"/>
      <c r="H719" s="1056"/>
      <c r="I719" s="1056"/>
      <c r="J719" s="1056"/>
      <c r="K719" s="1056"/>
      <c r="L719" s="1056"/>
      <c r="M719" s="1056"/>
      <c r="N719" s="1056"/>
      <c r="O719" s="1056"/>
      <c r="P719" s="1056"/>
      <c r="Q719" s="1056"/>
      <c r="R719" s="1056"/>
      <c r="S719" s="1056"/>
      <c r="T719" s="1056"/>
      <c r="U719" s="1056"/>
      <c r="V719" s="1056"/>
      <c r="W719" s="1056"/>
      <c r="X719" s="1056"/>
      <c r="Y719" s="1056"/>
      <c r="Z719" s="1056"/>
      <c r="AA719" s="1056"/>
      <c r="AB719" s="1056"/>
      <c r="AC719" s="1056"/>
      <c r="AD719" s="1056"/>
      <c r="AE719" s="1056"/>
      <c r="AF719" s="1056"/>
      <c r="AG719" s="1056"/>
      <c r="AH719" s="1056"/>
      <c r="AL719" s="37"/>
      <c r="AM719" s="37"/>
      <c r="BA719" s="37"/>
      <c r="BB719" s="37"/>
      <c r="BC719" s="37"/>
      <c r="BD719" s="37"/>
      <c r="BE719" s="37"/>
      <c r="BF719" s="37"/>
      <c r="BG719" s="759">
        <f t="shared" si="31"/>
        <v>0</v>
      </c>
      <c r="BH719" s="763">
        <f t="shared" si="32"/>
        <v>0</v>
      </c>
      <c r="BI719" s="764" t="str">
        <f t="shared" si="33"/>
        <v xml:space="preserve"> </v>
      </c>
      <c r="BJ719" s="37"/>
      <c r="BK719" s="37"/>
      <c r="BL719" s="37"/>
      <c r="BM719" s="37"/>
      <c r="BN719" s="37"/>
      <c r="BO719" s="37"/>
      <c r="BP719" s="495" t="s">
        <v>969</v>
      </c>
      <c r="BQ719" s="494">
        <v>1390</v>
      </c>
      <c r="BR719" s="494">
        <v>1490</v>
      </c>
      <c r="BS719" s="494">
        <v>1786</v>
      </c>
      <c r="BT719" s="494">
        <v>2064</v>
      </c>
      <c r="BU719" s="494">
        <v>2304</v>
      </c>
      <c r="BV719" s="494">
        <v>2542</v>
      </c>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row>
    <row r="720" spans="2:97" ht="13.35" customHeight="1">
      <c r="C720" s="232" t="s">
        <v>1457</v>
      </c>
      <c r="D720" s="827"/>
      <c r="E720" s="827"/>
      <c r="F720" s="827"/>
      <c r="G720" s="828"/>
      <c r="H720" s="828"/>
      <c r="I720" s="828"/>
      <c r="J720" s="828"/>
      <c r="K720" s="827"/>
      <c r="L720" s="827"/>
      <c r="M720" s="827"/>
      <c r="N720" s="827"/>
      <c r="O720" s="1190">
        <f>CQ615</f>
        <v>43</v>
      </c>
      <c r="P720" s="1190"/>
      <c r="Q720" s="1190"/>
      <c r="R720" s="1190"/>
      <c r="S720" s="829"/>
      <c r="T720" s="829"/>
      <c r="U720" s="232" t="s">
        <v>1458</v>
      </c>
      <c r="V720" s="827"/>
      <c r="W720" s="827"/>
      <c r="X720" s="827"/>
      <c r="Y720" s="828"/>
      <c r="Z720" s="828"/>
      <c r="AA720" s="828"/>
      <c r="AB720" s="828"/>
      <c r="AC720" s="827"/>
      <c r="AD720" s="827"/>
      <c r="AE720" s="827"/>
      <c r="AF720" s="827"/>
      <c r="AG720" s="1221">
        <v>22</v>
      </c>
      <c r="AH720" s="1221"/>
      <c r="AI720" s="1221"/>
      <c r="AJ720" s="1221"/>
      <c r="AK720" s="37"/>
      <c r="AL720" s="37"/>
      <c r="AM720" s="37"/>
      <c r="BA720" s="37"/>
      <c r="BB720" s="37"/>
      <c r="BC720" s="37"/>
      <c r="BD720" s="37"/>
      <c r="BE720" s="37"/>
      <c r="BF720" s="37"/>
      <c r="BG720" s="759">
        <f t="shared" si="31"/>
        <v>0</v>
      </c>
      <c r="BH720" s="763">
        <f t="shared" si="32"/>
        <v>0</v>
      </c>
      <c r="BI720" s="764" t="str">
        <f t="shared" si="33"/>
        <v xml:space="preserve"> </v>
      </c>
      <c r="BJ720" s="37"/>
      <c r="BK720" s="37"/>
      <c r="BL720" s="37"/>
      <c r="BM720" s="37"/>
      <c r="BN720" s="37"/>
      <c r="BO720" s="37"/>
      <c r="BP720" s="495" t="s">
        <v>974</v>
      </c>
      <c r="BQ720" s="494">
        <v>1574</v>
      </c>
      <c r="BR720" s="494">
        <v>1686</v>
      </c>
      <c r="BS720" s="494">
        <v>2024</v>
      </c>
      <c r="BT720" s="494">
        <v>2340</v>
      </c>
      <c r="BU720" s="494">
        <v>2610</v>
      </c>
      <c r="BV720" s="494">
        <v>2880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1:97" ht="13.35" customHeight="1">
      <c r="B721" s="417"/>
      <c r="C721" s="418"/>
      <c r="D721" s="418"/>
      <c r="E721" s="418"/>
      <c r="F721" s="418"/>
      <c r="G721" s="419"/>
      <c r="H721" s="419"/>
      <c r="I721" s="419"/>
      <c r="J721" s="419"/>
      <c r="K721" s="418"/>
      <c r="L721" s="418"/>
      <c r="M721" s="418"/>
      <c r="N721" s="418"/>
      <c r="O721" s="418"/>
      <c r="P721" s="329"/>
      <c r="Q721" s="329"/>
      <c r="R721" s="329"/>
      <c r="S721" s="329"/>
      <c r="T721" s="329"/>
      <c r="U721" s="296"/>
      <c r="V721" s="296"/>
      <c r="W721" s="296"/>
      <c r="X721" s="296"/>
      <c r="Y721" s="418"/>
      <c r="Z721" s="418"/>
      <c r="AA721" s="418"/>
      <c r="AB721" s="418"/>
      <c r="AC721" s="418"/>
      <c r="AD721" s="424"/>
      <c r="AE721" s="309"/>
      <c r="AF721" s="309"/>
      <c r="AG721" s="309"/>
      <c r="AH721" s="309"/>
      <c r="AL721" s="37"/>
      <c r="AM721" s="37"/>
      <c r="BA721" s="37"/>
      <c r="BB721" s="37"/>
      <c r="BC721" s="37"/>
      <c r="BD721" s="37"/>
      <c r="BE721" s="37"/>
      <c r="BF721" s="37"/>
      <c r="BG721" s="759">
        <f t="shared" si="31"/>
        <v>0</v>
      </c>
      <c r="BH721" s="763">
        <f t="shared" si="32"/>
        <v>0</v>
      </c>
      <c r="BI721" s="764" t="str">
        <f t="shared" si="33"/>
        <v xml:space="preserve"> </v>
      </c>
      <c r="BJ721" s="37"/>
      <c r="BK721" s="37"/>
      <c r="BL721" s="37"/>
      <c r="BM721" s="37"/>
      <c r="BN721" s="37"/>
      <c r="BO721" s="37"/>
      <c r="BP721" s="495" t="s">
        <v>977</v>
      </c>
      <c r="BQ721" s="494">
        <v>1364</v>
      </c>
      <c r="BR721" s="494">
        <v>1462</v>
      </c>
      <c r="BS721" s="494">
        <v>1754</v>
      </c>
      <c r="BT721" s="494">
        <v>2026</v>
      </c>
      <c r="BU721" s="494">
        <v>2260</v>
      </c>
      <c r="BV721" s="494">
        <v>2492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1:97" ht="13.35" customHeight="1">
      <c r="B722" s="830" t="s">
        <v>1459</v>
      </c>
      <c r="C722" s="418"/>
      <c r="D722" s="418"/>
      <c r="E722" s="418"/>
      <c r="F722" s="418"/>
      <c r="G722" s="419"/>
      <c r="H722" s="419"/>
      <c r="I722" s="419"/>
      <c r="J722" s="419"/>
      <c r="K722" s="418"/>
      <c r="L722" s="418"/>
      <c r="M722" s="418"/>
      <c r="N722" s="418"/>
      <c r="O722" s="418"/>
      <c r="P722" s="329"/>
      <c r="Q722" s="329"/>
      <c r="R722" s="329"/>
      <c r="S722" s="329"/>
      <c r="T722" s="329"/>
      <c r="U722" s="296"/>
      <c r="V722" s="296"/>
      <c r="W722" s="296"/>
      <c r="X722" s="296"/>
      <c r="Y722" s="418"/>
      <c r="Z722" s="1448" t="s">
        <v>325</v>
      </c>
      <c r="AA722" s="1448"/>
      <c r="AB722" s="1448"/>
      <c r="AF722" s="296"/>
      <c r="AG722" s="309"/>
      <c r="AH722" s="309"/>
      <c r="AL722" s="37"/>
      <c r="AM722" s="37"/>
      <c r="BA722" s="37"/>
      <c r="BB722" s="37"/>
      <c r="BC722" s="37"/>
      <c r="BD722" s="37"/>
      <c r="BE722" s="37"/>
      <c r="BF722" s="37"/>
      <c r="BG722" s="759">
        <f t="shared" si="31"/>
        <v>0</v>
      </c>
      <c r="BH722" s="763">
        <f t="shared" si="32"/>
        <v>0</v>
      </c>
      <c r="BI722" s="764" t="str">
        <f t="shared" si="33"/>
        <v xml:space="preserve"> </v>
      </c>
      <c r="BJ722" s="37"/>
      <c r="BK722" s="37"/>
      <c r="BL722" s="37"/>
      <c r="BM722" s="37"/>
      <c r="BN722" s="37"/>
      <c r="BO722" s="37"/>
      <c r="BP722" s="495" t="s">
        <v>983</v>
      </c>
      <c r="BQ722" s="494">
        <v>1902</v>
      </c>
      <c r="BR722" s="494">
        <v>2036</v>
      </c>
      <c r="BS722" s="494">
        <v>2444</v>
      </c>
      <c r="BT722" s="494">
        <v>2822</v>
      </c>
      <c r="BU722" s="494">
        <v>3150</v>
      </c>
      <c r="BV722" s="494">
        <v>3476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1:97" ht="13.35" customHeight="1">
      <c r="B723" s="939" t="s">
        <v>1460</v>
      </c>
      <c r="C723" s="939"/>
      <c r="D723" s="939"/>
      <c r="E723" s="939"/>
      <c r="F723" s="939"/>
      <c r="G723" s="939"/>
      <c r="H723" s="939"/>
      <c r="I723" s="939"/>
      <c r="J723" s="939"/>
      <c r="K723" s="939"/>
      <c r="L723" s="939"/>
      <c r="M723" s="939"/>
      <c r="N723" s="939"/>
      <c r="O723" s="939"/>
      <c r="P723" s="939"/>
      <c r="Q723" s="939"/>
      <c r="R723" s="939"/>
      <c r="S723" s="939"/>
      <c r="T723" s="939"/>
      <c r="U723" s="939"/>
      <c r="V723" s="939"/>
      <c r="W723" s="939"/>
      <c r="X723" s="939"/>
      <c r="Y723" s="939"/>
      <c r="Z723" s="939"/>
      <c r="AA723" s="939"/>
      <c r="AB723" s="939"/>
      <c r="AC723" s="939"/>
      <c r="AD723" s="939"/>
      <c r="AE723" s="939"/>
      <c r="AF723" s="939"/>
      <c r="AG723" s="939"/>
      <c r="AH723" s="939"/>
      <c r="AI723" s="939"/>
      <c r="AJ723" s="939"/>
      <c r="AK723" s="939"/>
      <c r="AL723" s="939"/>
      <c r="AM723" s="37"/>
      <c r="BA723" s="37"/>
      <c r="BB723" s="37"/>
      <c r="BC723" s="37"/>
      <c r="BD723" s="37"/>
      <c r="BE723" s="37"/>
      <c r="BF723" s="37"/>
      <c r="BG723" s="759">
        <f t="shared" si="31"/>
        <v>0</v>
      </c>
      <c r="BH723" s="763">
        <f t="shared" si="32"/>
        <v>0</v>
      </c>
      <c r="BI723" s="764" t="str">
        <f t="shared" si="33"/>
        <v xml:space="preserve"> </v>
      </c>
      <c r="BJ723" s="37"/>
      <c r="BK723" s="37"/>
      <c r="BL723" s="37"/>
      <c r="BM723" s="37"/>
      <c r="BN723" s="37"/>
      <c r="BO723" s="37"/>
      <c r="BP723" s="495" t="s">
        <v>987</v>
      </c>
      <c r="BQ723" s="494">
        <v>2080</v>
      </c>
      <c r="BR723" s="494">
        <v>2228</v>
      </c>
      <c r="BS723" s="494">
        <v>2674</v>
      </c>
      <c r="BT723" s="494">
        <v>3090</v>
      </c>
      <c r="BU723" s="494">
        <v>3446</v>
      </c>
      <c r="BV723" s="494">
        <v>3802</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1:97" ht="20.25" customHeight="1">
      <c r="B724" s="939"/>
      <c r="C724" s="939"/>
      <c r="D724" s="939"/>
      <c r="E724" s="939"/>
      <c r="F724" s="939"/>
      <c r="G724" s="939"/>
      <c r="H724" s="939"/>
      <c r="I724" s="939"/>
      <c r="J724" s="939"/>
      <c r="K724" s="939"/>
      <c r="L724" s="939"/>
      <c r="M724" s="939"/>
      <c r="N724" s="939"/>
      <c r="O724" s="939"/>
      <c r="P724" s="939"/>
      <c r="Q724" s="939"/>
      <c r="R724" s="939"/>
      <c r="S724" s="939"/>
      <c r="T724" s="939"/>
      <c r="U724" s="939"/>
      <c r="V724" s="939"/>
      <c r="W724" s="939"/>
      <c r="X724" s="939"/>
      <c r="Y724" s="939"/>
      <c r="Z724" s="939"/>
      <c r="AA724" s="939"/>
      <c r="AB724" s="939"/>
      <c r="AC724" s="939"/>
      <c r="AD724" s="939"/>
      <c r="AE724" s="939"/>
      <c r="AF724" s="939"/>
      <c r="AG724" s="939"/>
      <c r="AH724" s="939"/>
      <c r="AI724" s="939"/>
      <c r="AJ724" s="939"/>
      <c r="AK724" s="939"/>
      <c r="AL724" s="939"/>
      <c r="AM724" s="37"/>
      <c r="BA724" s="37"/>
      <c r="BB724" s="37"/>
      <c r="BC724" s="37"/>
      <c r="BD724" s="37"/>
      <c r="BE724" s="37"/>
      <c r="BF724" s="37"/>
      <c r="BG724" s="759">
        <f t="shared" si="31"/>
        <v>0</v>
      </c>
      <c r="BH724" s="763">
        <f t="shared" si="32"/>
        <v>0</v>
      </c>
      <c r="BI724" s="764" t="str">
        <f t="shared" si="33"/>
        <v xml:space="preserve"> </v>
      </c>
      <c r="BJ724" s="37"/>
      <c r="BK724" s="37"/>
      <c r="BL724" s="37"/>
      <c r="BM724" s="37"/>
      <c r="BN724" s="37"/>
      <c r="BO724" s="37"/>
      <c r="BP724" s="495" t="s">
        <v>990</v>
      </c>
      <c r="BQ724" s="494">
        <v>1394</v>
      </c>
      <c r="BR724" s="494">
        <v>1494</v>
      </c>
      <c r="BS724" s="494">
        <v>1794</v>
      </c>
      <c r="BT724" s="494">
        <v>2072</v>
      </c>
      <c r="BU724" s="494">
        <v>2312</v>
      </c>
      <c r="BV724" s="494">
        <v>2552</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1:97" ht="13.35" customHeight="1">
      <c r="A725" s="3" t="s">
        <v>889</v>
      </c>
      <c r="B725" s="55"/>
      <c r="C725" s="56" t="s">
        <v>1461</v>
      </c>
      <c r="D725" s="825"/>
      <c r="E725" s="825"/>
      <c r="F725" s="825"/>
      <c r="G725" s="825"/>
      <c r="H725" s="825"/>
      <c r="I725" s="825"/>
      <c r="J725" s="825"/>
      <c r="K725" s="825"/>
      <c r="L725" s="825"/>
      <c r="M725" s="825"/>
      <c r="N725" s="825"/>
      <c r="O725" s="825"/>
      <c r="P725" s="825"/>
      <c r="Q725" s="825"/>
      <c r="R725" s="825"/>
      <c r="S725" s="825"/>
      <c r="T725" s="825"/>
      <c r="U725" s="825"/>
      <c r="V725" s="825"/>
      <c r="W725" s="825"/>
      <c r="X725" s="825"/>
      <c r="Y725" s="825"/>
      <c r="Z725" s="825"/>
      <c r="AA725" s="825"/>
      <c r="AB725" s="825"/>
      <c r="AC725" s="825"/>
      <c r="AD725" s="825"/>
      <c r="AE725" s="825"/>
      <c r="AF725" s="825"/>
      <c r="AG725" s="825"/>
      <c r="AH725" s="825"/>
      <c r="AI725" s="825"/>
      <c r="AJ725" s="825"/>
      <c r="AK725" s="825"/>
      <c r="AM725" s="37"/>
      <c r="BA725" s="37"/>
      <c r="BB725" s="37"/>
      <c r="BC725" s="37"/>
      <c r="BD725" s="37"/>
      <c r="BE725" s="37"/>
      <c r="BF725" s="37"/>
      <c r="BG725" s="759">
        <f t="shared" si="31"/>
        <v>0</v>
      </c>
      <c r="BH725" s="763">
        <f t="shared" si="32"/>
        <v>0</v>
      </c>
      <c r="BI725" s="764" t="str">
        <f t="shared" si="33"/>
        <v xml:space="preserve"> </v>
      </c>
      <c r="BJ725" s="37"/>
      <c r="BK725" s="37"/>
      <c r="BL725" s="37"/>
      <c r="BM725" s="37"/>
      <c r="BN725" s="37"/>
      <c r="BO725" s="37"/>
      <c r="BP725" s="495" t="s">
        <v>996</v>
      </c>
      <c r="BQ725" s="494">
        <v>1364</v>
      </c>
      <c r="BR725" s="494">
        <v>1462</v>
      </c>
      <c r="BS725" s="494">
        <v>1754</v>
      </c>
      <c r="BT725" s="494">
        <v>2026</v>
      </c>
      <c r="BU725" s="494">
        <v>2260</v>
      </c>
      <c r="BV725" s="494">
        <v>2492</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1:97" ht="13.35" customHeight="1">
      <c r="A726" s="3"/>
      <c r="B726" s="55"/>
      <c r="C726" s="939" t="s">
        <v>1462</v>
      </c>
      <c r="D726" s="939"/>
      <c r="E726" s="939"/>
      <c r="F726" s="939"/>
      <c r="G726" s="939"/>
      <c r="H726" s="939"/>
      <c r="I726" s="939"/>
      <c r="J726" s="939"/>
      <c r="K726" s="939"/>
      <c r="L726" s="939"/>
      <c r="M726" s="939"/>
      <c r="N726" s="939"/>
      <c r="O726" s="939"/>
      <c r="P726" s="939"/>
      <c r="Q726" s="939"/>
      <c r="R726" s="939"/>
      <c r="S726" s="939"/>
      <c r="T726" s="939"/>
      <c r="U726" s="939"/>
      <c r="V726" s="939"/>
      <c r="W726" s="939"/>
      <c r="X726" s="939"/>
      <c r="Y726" s="939"/>
      <c r="Z726" s="939"/>
      <c r="AA726" s="939"/>
      <c r="AB726" s="939"/>
      <c r="AC726" s="939"/>
      <c r="AD726" s="939"/>
      <c r="AE726" s="939"/>
      <c r="AF726" s="939"/>
      <c r="AG726" s="939"/>
      <c r="AH726" s="939"/>
      <c r="AI726" s="939"/>
      <c r="AJ726" s="939"/>
      <c r="AK726" s="939"/>
      <c r="AL726" s="939"/>
      <c r="AM726" s="939"/>
      <c r="BA726" s="37"/>
      <c r="BB726" s="37"/>
      <c r="BC726" s="37"/>
      <c r="BD726" s="37"/>
      <c r="BE726" s="37"/>
      <c r="BF726" s="37"/>
      <c r="BG726" s="759">
        <f t="shared" si="31"/>
        <v>0</v>
      </c>
      <c r="BH726" s="763">
        <f t="shared" si="32"/>
        <v>0</v>
      </c>
      <c r="BI726" s="764" t="str">
        <f t="shared" si="33"/>
        <v xml:space="preserve"> </v>
      </c>
      <c r="BJ726" s="37"/>
      <c r="BK726" s="37"/>
      <c r="BL726" s="37"/>
      <c r="BM726" s="37"/>
      <c r="BN726" s="37"/>
      <c r="BO726" s="37"/>
      <c r="BP726" s="495" t="s">
        <v>1001</v>
      </c>
      <c r="BQ726" s="494">
        <v>1364</v>
      </c>
      <c r="BR726" s="494">
        <v>1462</v>
      </c>
      <c r="BS726" s="494">
        <v>1754</v>
      </c>
      <c r="BT726" s="494">
        <v>2026</v>
      </c>
      <c r="BU726" s="494">
        <v>2260</v>
      </c>
      <c r="BV726" s="494">
        <v>2492</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1:97" ht="13.35" customHeight="1">
      <c r="A727" s="3"/>
      <c r="B727" s="55"/>
      <c r="C727" s="939"/>
      <c r="D727" s="939"/>
      <c r="E727" s="939"/>
      <c r="F727" s="939"/>
      <c r="G727" s="939"/>
      <c r="H727" s="939"/>
      <c r="I727" s="939"/>
      <c r="J727" s="939"/>
      <c r="K727" s="939"/>
      <c r="L727" s="939"/>
      <c r="M727" s="939"/>
      <c r="N727" s="939"/>
      <c r="O727" s="939"/>
      <c r="P727" s="939"/>
      <c r="Q727" s="939"/>
      <c r="R727" s="939"/>
      <c r="S727" s="939"/>
      <c r="T727" s="939"/>
      <c r="U727" s="939"/>
      <c r="V727" s="939"/>
      <c r="W727" s="939"/>
      <c r="X727" s="939"/>
      <c r="Y727" s="939"/>
      <c r="Z727" s="939"/>
      <c r="AA727" s="939"/>
      <c r="AB727" s="939"/>
      <c r="AC727" s="939"/>
      <c r="AD727" s="939"/>
      <c r="AE727" s="939"/>
      <c r="AF727" s="939"/>
      <c r="AG727" s="939"/>
      <c r="AH727" s="939"/>
      <c r="AI727" s="939"/>
      <c r="AJ727" s="939"/>
      <c r="AK727" s="939"/>
      <c r="AL727" s="939"/>
      <c r="AM727" s="939"/>
      <c r="BA727" s="37"/>
      <c r="BB727" s="37"/>
      <c r="BC727" s="37"/>
      <c r="BD727" s="37"/>
      <c r="BE727" s="37"/>
      <c r="BF727" s="37"/>
      <c r="BG727" s="759">
        <f t="shared" si="31"/>
        <v>0</v>
      </c>
      <c r="BH727" s="763">
        <f t="shared" si="32"/>
        <v>0</v>
      </c>
      <c r="BI727" s="764" t="str">
        <f t="shared" si="33"/>
        <v xml:space="preserve"> </v>
      </c>
      <c r="BJ727" s="37"/>
      <c r="BK727" s="37"/>
      <c r="BL727" s="37"/>
      <c r="BM727" s="37"/>
      <c r="BN727" s="37"/>
      <c r="BO727" s="37"/>
      <c r="BP727" s="495" t="s">
        <v>1005</v>
      </c>
      <c r="BQ727" s="494">
        <v>1364</v>
      </c>
      <c r="BR727" s="494">
        <v>1462</v>
      </c>
      <c r="BS727" s="494">
        <v>1754</v>
      </c>
      <c r="BT727" s="494">
        <v>2026</v>
      </c>
      <c r="BU727" s="494">
        <v>2260</v>
      </c>
      <c r="BV727" s="494">
        <v>2492</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1:97" ht="13.35" customHeight="1">
      <c r="A728" s="3"/>
      <c r="B728" s="55"/>
      <c r="C728" s="939"/>
      <c r="D728" s="939"/>
      <c r="E728" s="939"/>
      <c r="F728" s="939"/>
      <c r="G728" s="939"/>
      <c r="H728" s="939"/>
      <c r="I728" s="939"/>
      <c r="J728" s="939"/>
      <c r="K728" s="939"/>
      <c r="L728" s="939"/>
      <c r="M728" s="939"/>
      <c r="N728" s="939"/>
      <c r="O728" s="939"/>
      <c r="P728" s="939"/>
      <c r="Q728" s="939"/>
      <c r="R728" s="939"/>
      <c r="S728" s="939"/>
      <c r="T728" s="939"/>
      <c r="U728" s="939"/>
      <c r="V728" s="939"/>
      <c r="W728" s="939"/>
      <c r="X728" s="939"/>
      <c r="Y728" s="939"/>
      <c r="Z728" s="939"/>
      <c r="AA728" s="939"/>
      <c r="AB728" s="939"/>
      <c r="AC728" s="939"/>
      <c r="AD728" s="939"/>
      <c r="AE728" s="939"/>
      <c r="AF728" s="939"/>
      <c r="AG728" s="939"/>
      <c r="AH728" s="939"/>
      <c r="AI728" s="939"/>
      <c r="AJ728" s="939"/>
      <c r="AK728" s="939"/>
      <c r="AL728" s="939"/>
      <c r="AM728" s="939"/>
      <c r="BA728" s="37"/>
      <c r="BB728" s="37"/>
      <c r="BC728" s="37"/>
      <c r="BD728" s="37"/>
      <c r="BE728" s="37"/>
      <c r="BF728" s="37"/>
      <c r="BG728" s="759">
        <f t="shared" si="31"/>
        <v>0</v>
      </c>
      <c r="BH728" s="763">
        <f t="shared" si="32"/>
        <v>0</v>
      </c>
      <c r="BI728" s="764" t="str">
        <f t="shared" si="33"/>
        <v xml:space="preserve"> </v>
      </c>
      <c r="BJ728" s="37"/>
      <c r="BK728" s="37"/>
      <c r="BL728" s="37"/>
      <c r="BM728" s="37"/>
      <c r="BN728" s="37"/>
      <c r="BO728" s="37"/>
      <c r="BP728" s="495" t="s">
        <v>1010</v>
      </c>
      <c r="BQ728" s="494">
        <v>1364</v>
      </c>
      <c r="BR728" s="494">
        <v>1462</v>
      </c>
      <c r="BS728" s="494">
        <v>1754</v>
      </c>
      <c r="BT728" s="494">
        <v>2026</v>
      </c>
      <c r="BU728" s="494">
        <v>2260</v>
      </c>
      <c r="BV728" s="494">
        <v>2492</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1:97" ht="13.35" customHeight="1">
      <c r="A729" s="3"/>
      <c r="B729" s="55"/>
      <c r="C729" s="939"/>
      <c r="D729" s="939"/>
      <c r="E729" s="939"/>
      <c r="F729" s="939"/>
      <c r="G729" s="939"/>
      <c r="H729" s="939"/>
      <c r="I729" s="939"/>
      <c r="J729" s="939"/>
      <c r="K729" s="939"/>
      <c r="L729" s="939"/>
      <c r="M729" s="939"/>
      <c r="N729" s="939"/>
      <c r="O729" s="939"/>
      <c r="P729" s="939"/>
      <c r="Q729" s="939"/>
      <c r="R729" s="939"/>
      <c r="S729" s="939"/>
      <c r="T729" s="939"/>
      <c r="U729" s="939"/>
      <c r="V729" s="939"/>
      <c r="W729" s="939"/>
      <c r="X729" s="939"/>
      <c r="Y729" s="939"/>
      <c r="Z729" s="939"/>
      <c r="AA729" s="939"/>
      <c r="AB729" s="939"/>
      <c r="AC729" s="939"/>
      <c r="AD729" s="939"/>
      <c r="AE729" s="939"/>
      <c r="AF729" s="939"/>
      <c r="AG729" s="939"/>
      <c r="AH729" s="939"/>
      <c r="AI729" s="939"/>
      <c r="AJ729" s="939"/>
      <c r="AK729" s="939"/>
      <c r="AL729" s="939"/>
      <c r="AM729" s="939"/>
      <c r="BA729" s="37"/>
      <c r="BB729" s="37"/>
      <c r="BC729" s="37"/>
      <c r="BD729" s="37"/>
      <c r="BE729" s="37"/>
      <c r="BF729" s="37"/>
      <c r="BG729" s="759">
        <f t="shared" si="31"/>
        <v>0</v>
      </c>
      <c r="BH729" s="763">
        <f t="shared" si="32"/>
        <v>0</v>
      </c>
      <c r="BI729" s="764" t="str">
        <f t="shared" si="33"/>
        <v xml:space="preserve"> </v>
      </c>
      <c r="BJ729" s="37"/>
      <c r="BK729" s="37"/>
      <c r="BL729" s="37"/>
      <c r="BM729" s="37"/>
      <c r="BN729" s="37"/>
      <c r="BO729" s="37"/>
      <c r="BP729" s="495" t="s">
        <v>1012</v>
      </c>
      <c r="BQ729" s="494">
        <v>1456</v>
      </c>
      <c r="BR729" s="494">
        <v>1560</v>
      </c>
      <c r="BS729" s="494">
        <v>1872</v>
      </c>
      <c r="BT729" s="494">
        <v>2162</v>
      </c>
      <c r="BU729" s="494">
        <v>2414</v>
      </c>
      <c r="BV729" s="494">
        <v>2662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1:97" ht="13.35" customHeight="1">
      <c r="A730" s="3"/>
      <c r="B730" s="55"/>
      <c r="C730" s="939"/>
      <c r="D730" s="939"/>
      <c r="E730" s="939"/>
      <c r="F730" s="939"/>
      <c r="G730" s="939"/>
      <c r="H730" s="939"/>
      <c r="I730" s="939"/>
      <c r="J730" s="939"/>
      <c r="K730" s="939"/>
      <c r="L730" s="939"/>
      <c r="M730" s="939"/>
      <c r="N730" s="939"/>
      <c r="O730" s="939"/>
      <c r="P730" s="939"/>
      <c r="Q730" s="939"/>
      <c r="R730" s="939"/>
      <c r="S730" s="939"/>
      <c r="T730" s="939"/>
      <c r="U730" s="939"/>
      <c r="V730" s="939"/>
      <c r="W730" s="939"/>
      <c r="X730" s="939"/>
      <c r="Y730" s="939"/>
      <c r="Z730" s="939"/>
      <c r="AA730" s="939"/>
      <c r="AB730" s="939"/>
      <c r="AC730" s="939"/>
      <c r="AD730" s="939"/>
      <c r="AE730" s="939"/>
      <c r="AF730" s="939"/>
      <c r="AG730" s="939"/>
      <c r="AH730" s="939"/>
      <c r="AI730" s="939"/>
      <c r="AJ730" s="939"/>
      <c r="AK730" s="939"/>
      <c r="AL730" s="939"/>
      <c r="AM730" s="939"/>
      <c r="BA730" s="37"/>
      <c r="BB730" s="37"/>
      <c r="BC730" s="37"/>
      <c r="BD730" s="37"/>
      <c r="BE730" s="37"/>
      <c r="BF730" s="37"/>
      <c r="BG730" s="759">
        <f t="shared" si="31"/>
        <v>0</v>
      </c>
      <c r="BH730" s="763">
        <f t="shared" si="32"/>
        <v>0</v>
      </c>
      <c r="BI730" s="764" t="str">
        <f t="shared" si="33"/>
        <v xml:space="preserve"> </v>
      </c>
      <c r="BJ730" s="37"/>
      <c r="BK730" s="37"/>
      <c r="BL730" s="37"/>
      <c r="BM730" s="37"/>
      <c r="BN730" s="37"/>
      <c r="BO730" s="37"/>
      <c r="BP730" s="495" t="s">
        <v>1015</v>
      </c>
      <c r="BQ730" s="494">
        <v>2194</v>
      </c>
      <c r="BR730" s="494">
        <v>2352</v>
      </c>
      <c r="BS730" s="494">
        <v>2822</v>
      </c>
      <c r="BT730" s="494">
        <v>3260</v>
      </c>
      <c r="BU730" s="494">
        <v>3636</v>
      </c>
      <c r="BV730" s="494">
        <v>4012</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1:97" ht="13.35" customHeight="1">
      <c r="B731" s="55"/>
      <c r="C731" s="939"/>
      <c r="D731" s="939"/>
      <c r="E731" s="939"/>
      <c r="F731" s="939"/>
      <c r="G731" s="939"/>
      <c r="H731" s="939"/>
      <c r="I731" s="939"/>
      <c r="J731" s="939"/>
      <c r="K731" s="939"/>
      <c r="L731" s="939"/>
      <c r="M731" s="939"/>
      <c r="N731" s="939"/>
      <c r="O731" s="939"/>
      <c r="P731" s="939"/>
      <c r="Q731" s="939"/>
      <c r="R731" s="939"/>
      <c r="S731" s="939"/>
      <c r="T731" s="939"/>
      <c r="U731" s="939"/>
      <c r="V731" s="939"/>
      <c r="W731" s="939"/>
      <c r="X731" s="939"/>
      <c r="Y731" s="939"/>
      <c r="Z731" s="939"/>
      <c r="AA731" s="939"/>
      <c r="AB731" s="939"/>
      <c r="AC731" s="939"/>
      <c r="AD731" s="939"/>
      <c r="AE731" s="939"/>
      <c r="AF731" s="939"/>
      <c r="AG731" s="939"/>
      <c r="AH731" s="939"/>
      <c r="AI731" s="939"/>
      <c r="AJ731" s="939"/>
      <c r="AK731" s="939"/>
      <c r="AL731" s="939"/>
      <c r="AM731" s="939"/>
      <c r="BA731" s="37"/>
      <c r="BB731" s="37"/>
      <c r="BC731" s="37"/>
      <c r="BD731" s="37"/>
      <c r="BE731" s="37"/>
      <c r="BF731" s="37"/>
      <c r="BG731" s="762">
        <f t="shared" si="31"/>
        <v>0</v>
      </c>
      <c r="BH731" s="763">
        <f t="shared" si="32"/>
        <v>0</v>
      </c>
      <c r="BI731" s="764" t="str">
        <f t="shared" si="33"/>
        <v xml:space="preserve"> </v>
      </c>
      <c r="BJ731" s="37"/>
      <c r="BK731" s="37"/>
      <c r="BL731" s="37"/>
      <c r="BM731" s="37"/>
      <c r="BN731" s="37"/>
      <c r="BO731" s="37"/>
      <c r="BP731" s="495" t="s">
        <v>1021</v>
      </c>
      <c r="BQ731" s="494">
        <v>1734</v>
      </c>
      <c r="BR731" s="494">
        <v>1858</v>
      </c>
      <c r="BS731" s="494">
        <v>2230</v>
      </c>
      <c r="BT731" s="494">
        <v>2576</v>
      </c>
      <c r="BU731" s="494">
        <v>2874</v>
      </c>
      <c r="BV731" s="494">
        <v>3172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1:97" ht="13.35" customHeight="1">
      <c r="B732" s="55"/>
      <c r="C732" s="939"/>
      <c r="D732" s="939"/>
      <c r="E732" s="939"/>
      <c r="F732" s="939"/>
      <c r="G732" s="939"/>
      <c r="H732" s="939"/>
      <c r="I732" s="939"/>
      <c r="J732" s="939"/>
      <c r="K732" s="939"/>
      <c r="L732" s="939"/>
      <c r="M732" s="939"/>
      <c r="N732" s="939"/>
      <c r="O732" s="939"/>
      <c r="P732" s="939"/>
      <c r="Q732" s="939"/>
      <c r="R732" s="939"/>
      <c r="S732" s="939"/>
      <c r="T732" s="939"/>
      <c r="U732" s="939"/>
      <c r="V732" s="939"/>
      <c r="W732" s="939"/>
      <c r="X732" s="939"/>
      <c r="Y732" s="939"/>
      <c r="Z732" s="939"/>
      <c r="AA732" s="939"/>
      <c r="AB732" s="939"/>
      <c r="AC732" s="939"/>
      <c r="AD732" s="939"/>
      <c r="AE732" s="939"/>
      <c r="AF732" s="939"/>
      <c r="AG732" s="939"/>
      <c r="AH732" s="939"/>
      <c r="AI732" s="939"/>
      <c r="AJ732" s="939"/>
      <c r="AK732" s="939"/>
      <c r="AL732" s="939"/>
      <c r="AM732" s="939"/>
      <c r="BA732" s="37"/>
      <c r="BB732" s="37"/>
      <c r="BC732" s="37"/>
      <c r="BD732" s="37"/>
      <c r="BE732" s="37"/>
      <c r="BF732" s="37"/>
      <c r="BG732" s="760">
        <f>SUM(BG707:BG731)</f>
        <v>43</v>
      </c>
      <c r="BH732" s="761">
        <f>SUM(BH707:BH731)</f>
        <v>1</v>
      </c>
      <c r="BI732" s="761">
        <f>SUM(BI707:BI731)</f>
        <v>0.34864750256662053</v>
      </c>
      <c r="BJ732" s="37"/>
      <c r="BK732" s="37"/>
      <c r="BL732" s="37"/>
      <c r="BM732" s="37"/>
      <c r="BN732" s="37"/>
      <c r="BO732" s="37"/>
      <c r="BP732" s="495" t="s">
        <v>1024</v>
      </c>
      <c r="BQ732" s="494">
        <v>1364</v>
      </c>
      <c r="BR732" s="494">
        <v>1462</v>
      </c>
      <c r="BS732" s="494">
        <v>1754</v>
      </c>
      <c r="BT732" s="494">
        <v>2026</v>
      </c>
      <c r="BU732" s="494">
        <v>2260</v>
      </c>
      <c r="BV732" s="494">
        <v>2492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1:97" ht="13.35" customHeight="1">
      <c r="B733" s="55"/>
      <c r="C733" s="939"/>
      <c r="D733" s="939"/>
      <c r="E733" s="939"/>
      <c r="F733" s="939"/>
      <c r="G733" s="939"/>
      <c r="H733" s="939"/>
      <c r="I733" s="939"/>
      <c r="J733" s="939"/>
      <c r="K733" s="939"/>
      <c r="L733" s="939"/>
      <c r="M733" s="939"/>
      <c r="N733" s="939"/>
      <c r="O733" s="939"/>
      <c r="P733" s="939"/>
      <c r="Q733" s="939"/>
      <c r="R733" s="939"/>
      <c r="S733" s="939"/>
      <c r="T733" s="939"/>
      <c r="U733" s="939"/>
      <c r="V733" s="939"/>
      <c r="W733" s="939"/>
      <c r="X733" s="939"/>
      <c r="Y733" s="939"/>
      <c r="Z733" s="939"/>
      <c r="AA733" s="939"/>
      <c r="AB733" s="939"/>
      <c r="AC733" s="939"/>
      <c r="AD733" s="939"/>
      <c r="AE733" s="939"/>
      <c r="AF733" s="939"/>
      <c r="AG733" s="939"/>
      <c r="AH733" s="939"/>
      <c r="AI733" s="939"/>
      <c r="AJ733" s="939"/>
      <c r="AK733" s="939"/>
      <c r="AL733" s="939"/>
      <c r="AM733" s="939"/>
      <c r="BA733" s="37"/>
      <c r="BB733" s="37"/>
      <c r="BC733" s="37"/>
      <c r="BD733" s="37"/>
      <c r="BE733" s="37"/>
      <c r="BF733" s="37"/>
      <c r="BG733" s="37"/>
      <c r="BH733" s="37"/>
      <c r="BI733" s="37"/>
      <c r="BJ733" s="37"/>
      <c r="BK733" s="37"/>
      <c r="BL733" s="37"/>
      <c r="BM733" s="37"/>
      <c r="BN733" s="37"/>
      <c r="BO733" s="37"/>
      <c r="BP733" s="386"/>
      <c r="BQ733" s="267"/>
      <c r="BR733" s="889"/>
      <c r="BS733" s="889"/>
      <c r="BT733" s="889"/>
      <c r="BU733" s="889"/>
      <c r="BV733" s="889"/>
      <c r="BW733" s="889"/>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1:97" ht="13.35" customHeight="1">
      <c r="J734" s="1200" t="s">
        <v>1442</v>
      </c>
      <c r="K734" s="1201"/>
      <c r="L734" s="1201"/>
      <c r="M734" s="1201"/>
      <c r="N734" s="1202"/>
      <c r="O734" s="1215" t="s">
        <v>1443</v>
      </c>
      <c r="P734" s="1215"/>
      <c r="Q734" s="1215"/>
      <c r="R734" s="1215"/>
      <c r="S734" s="1215"/>
      <c r="T734" s="1436" t="s">
        <v>1444</v>
      </c>
      <c r="U734" s="1437"/>
      <c r="V734" s="1437"/>
      <c r="W734" s="1438"/>
      <c r="X734" s="1200" t="s">
        <v>1445</v>
      </c>
      <c r="Y734" s="1201"/>
      <c r="Z734" s="1201"/>
      <c r="AA734" s="1201"/>
      <c r="AB734" s="1202"/>
      <c r="AC734" s="1200" t="s">
        <v>1446</v>
      </c>
      <c r="AD734" s="1201"/>
      <c r="AE734" s="1201"/>
      <c r="AF734" s="1201"/>
      <c r="AG734" s="1202"/>
      <c r="A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1:97" ht="13.35" customHeight="1">
      <c r="J735" s="1203"/>
      <c r="K735" s="1204"/>
      <c r="L735" s="1204"/>
      <c r="M735" s="1204"/>
      <c r="N735" s="1205"/>
      <c r="O735" s="1215"/>
      <c r="P735" s="1215"/>
      <c r="Q735" s="1215"/>
      <c r="R735" s="1215"/>
      <c r="S735" s="1215"/>
      <c r="T735" s="1439"/>
      <c r="U735" s="1440"/>
      <c r="V735" s="1440"/>
      <c r="W735" s="1441"/>
      <c r="X735" s="1203"/>
      <c r="Y735" s="1204"/>
      <c r="Z735" s="1204"/>
      <c r="AA735" s="1204"/>
      <c r="AB735" s="1205"/>
      <c r="AC735" s="1203"/>
      <c r="AD735" s="1204"/>
      <c r="AE735" s="1204"/>
      <c r="AF735" s="1204"/>
      <c r="AG735" s="1205"/>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1:97" ht="13.35" customHeight="1">
      <c r="J736" s="1203"/>
      <c r="K736" s="1204"/>
      <c r="L736" s="1204"/>
      <c r="M736" s="1204"/>
      <c r="N736" s="1205"/>
      <c r="O736" s="1215"/>
      <c r="P736" s="1215"/>
      <c r="Q736" s="1215"/>
      <c r="R736" s="1215"/>
      <c r="S736" s="1215"/>
      <c r="T736" s="1439"/>
      <c r="U736" s="1440"/>
      <c r="V736" s="1440"/>
      <c r="W736" s="1441"/>
      <c r="X736" s="1203"/>
      <c r="Y736" s="1204"/>
      <c r="Z736" s="1204"/>
      <c r="AA736" s="1204"/>
      <c r="AB736" s="1205"/>
      <c r="AC736" s="1203"/>
      <c r="AD736" s="1204"/>
      <c r="AE736" s="1204"/>
      <c r="AF736" s="1204"/>
      <c r="AG736" s="1205"/>
      <c r="AM736" s="37"/>
      <c r="AN736" s="37"/>
      <c r="AO736" s="37"/>
      <c r="AP736" s="37"/>
      <c r="AQ736" s="37"/>
      <c r="AR736" s="37"/>
      <c r="AS736" s="37"/>
      <c r="AT736" s="37"/>
      <c r="AU736" s="37"/>
      <c r="AV736" s="37"/>
      <c r="AW736" s="37"/>
      <c r="AX736" s="37"/>
      <c r="AY736" s="37"/>
      <c r="AZ736" s="37"/>
      <c r="BA736" s="37"/>
      <c r="BB736" s="37"/>
      <c r="BC736" s="37"/>
      <c r="BD736" s="37"/>
      <c r="BE736" s="826"/>
      <c r="BF736" s="826"/>
      <c r="BG736" s="826"/>
      <c r="BH736" s="826"/>
      <c r="BI736" s="826"/>
      <c r="BJ736" s="826"/>
      <c r="BK736" s="826"/>
      <c r="BL736" s="826"/>
      <c r="BM736" s="826"/>
      <c r="BN736" s="826"/>
      <c r="BO736" s="826"/>
      <c r="BP736" s="826"/>
      <c r="BQ736" s="826"/>
      <c r="BR736" s="826"/>
      <c r="BS736" s="826"/>
      <c r="BT736" s="826"/>
      <c r="BU736" s="826"/>
      <c r="BV736" s="826"/>
      <c r="BW736" s="826"/>
      <c r="BX736" s="826"/>
      <c r="BY736" s="826"/>
      <c r="BZ736" s="826"/>
      <c r="CA736" s="826"/>
      <c r="CB736" s="826"/>
      <c r="CC736" s="826"/>
      <c r="CD736" s="826"/>
      <c r="CE736" s="826"/>
      <c r="CF736" s="826"/>
      <c r="CG736" s="826"/>
      <c r="CH736" s="826"/>
      <c r="CI736" s="826"/>
      <c r="CJ736" s="826"/>
      <c r="CK736" s="826"/>
      <c r="CL736" s="37"/>
      <c r="CM736" s="37"/>
      <c r="CN736" s="37"/>
      <c r="CO736" s="37"/>
      <c r="CP736" s="37"/>
      <c r="CQ736" s="37"/>
      <c r="CR736" s="37"/>
      <c r="CS736" s="37"/>
    </row>
    <row r="737" spans="1:97" ht="13.35" customHeight="1">
      <c r="J737" s="1206"/>
      <c r="K737" s="1207"/>
      <c r="L737" s="1207"/>
      <c r="M737" s="1207"/>
      <c r="N737" s="1208"/>
      <c r="O737" s="1215"/>
      <c r="P737" s="1215"/>
      <c r="Q737" s="1215"/>
      <c r="R737" s="1215"/>
      <c r="S737" s="1215"/>
      <c r="T737" s="1445"/>
      <c r="U737" s="1446"/>
      <c r="V737" s="1446"/>
      <c r="W737" s="1447"/>
      <c r="X737" s="1206"/>
      <c r="Y737" s="1207"/>
      <c r="Z737" s="1207"/>
      <c r="AA737" s="1207"/>
      <c r="AB737" s="1208"/>
      <c r="AC737" s="1206"/>
      <c r="AD737" s="1207"/>
      <c r="AE737" s="1207"/>
      <c r="AF737" s="1207"/>
      <c r="AG737" s="1208"/>
      <c r="AM737" s="37"/>
      <c r="AN737" s="37"/>
      <c r="AO737" s="37"/>
      <c r="AP737" s="37"/>
      <c r="AQ737" s="37"/>
      <c r="AR737" s="37"/>
      <c r="AS737" s="37"/>
      <c r="AT737" s="37"/>
      <c r="AU737" s="37"/>
      <c r="AV737" s="37"/>
      <c r="AW737" s="37"/>
      <c r="AX737" s="37"/>
      <c r="AY737" s="37"/>
      <c r="AZ737" s="37"/>
      <c r="BA737" s="37"/>
      <c r="BB737" s="37"/>
      <c r="BC737" s="37"/>
      <c r="BD737" s="37"/>
      <c r="BE737" s="826"/>
      <c r="BF737" s="826"/>
      <c r="BG737" s="826"/>
      <c r="BH737" s="826"/>
      <c r="BI737" s="826"/>
      <c r="BJ737" s="826"/>
      <c r="BK737" s="826"/>
      <c r="BL737" s="826"/>
      <c r="BM737" s="826"/>
      <c r="BN737" s="826"/>
      <c r="BO737" s="826"/>
      <c r="BP737" s="826"/>
      <c r="BQ737" s="826"/>
      <c r="BR737" s="826"/>
      <c r="BS737" s="826"/>
      <c r="BT737" s="826"/>
      <c r="BU737" s="826"/>
      <c r="BV737" s="826"/>
      <c r="BW737" s="826"/>
      <c r="BX737" s="826"/>
      <c r="BY737" s="826"/>
      <c r="BZ737" s="826"/>
      <c r="CA737" s="826"/>
      <c r="CB737" s="826"/>
      <c r="CC737" s="826"/>
      <c r="CD737" s="826"/>
      <c r="CE737" s="826"/>
      <c r="CF737" s="826"/>
      <c r="CG737" s="826"/>
      <c r="CH737" s="826"/>
      <c r="CI737" s="826"/>
      <c r="CJ737" s="826"/>
      <c r="CK737" s="826"/>
      <c r="CL737" s="37"/>
      <c r="CM737" s="37"/>
      <c r="CN737" s="37"/>
      <c r="CO737" s="37"/>
      <c r="CP737" s="37"/>
      <c r="CQ737" s="37"/>
      <c r="CR737" s="37"/>
      <c r="CS737" s="37"/>
    </row>
    <row r="738" spans="1:97" ht="13.35" customHeight="1">
      <c r="J738" s="1174" t="s">
        <v>1401</v>
      </c>
      <c r="K738" s="1175"/>
      <c r="L738" s="1175"/>
      <c r="M738" s="1175"/>
      <c r="N738" s="1176"/>
      <c r="O738" s="1178">
        <v>1</v>
      </c>
      <c r="P738" s="1178"/>
      <c r="Q738" s="1178"/>
      <c r="R738" s="1178"/>
      <c r="S738" s="1178"/>
      <c r="T738" s="1179">
        <v>850</v>
      </c>
      <c r="U738" s="1180"/>
      <c r="V738" s="1180"/>
      <c r="W738" s="1181"/>
      <c r="X738" s="1182">
        <v>0</v>
      </c>
      <c r="Y738" s="1183"/>
      <c r="Z738" s="1183"/>
      <c r="AA738" s="1183"/>
      <c r="AB738" s="1184"/>
      <c r="AC738" s="1185">
        <f>X738*O738</f>
        <v>0</v>
      </c>
      <c r="AD738" s="1186"/>
      <c r="AE738" s="1186"/>
      <c r="AF738" s="1186"/>
      <c r="AG738" s="1187"/>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35" customHeight="1">
      <c r="J739" s="1174"/>
      <c r="K739" s="1175"/>
      <c r="L739" s="1175"/>
      <c r="M739" s="1175"/>
      <c r="N739" s="1176"/>
      <c r="O739" s="1178"/>
      <c r="P739" s="1178"/>
      <c r="Q739" s="1178"/>
      <c r="R739" s="1178"/>
      <c r="S739" s="1178"/>
      <c r="T739" s="1179"/>
      <c r="U739" s="1180"/>
      <c r="V739" s="1180"/>
      <c r="W739" s="1181"/>
      <c r="X739" s="1182"/>
      <c r="Y739" s="1183"/>
      <c r="Z739" s="1183"/>
      <c r="AA739" s="1183"/>
      <c r="AB739" s="1184"/>
      <c r="AC739" s="1185">
        <f>X739*O739</f>
        <v>0</v>
      </c>
      <c r="AD739" s="1186"/>
      <c r="AE739" s="1186"/>
      <c r="AF739" s="1186"/>
      <c r="AG739" s="1187"/>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35" customHeight="1">
      <c r="J740" s="1174"/>
      <c r="K740" s="1175"/>
      <c r="L740" s="1175"/>
      <c r="M740" s="1175"/>
      <c r="N740" s="1176"/>
      <c r="O740" s="1178"/>
      <c r="P740" s="1178"/>
      <c r="Q740" s="1178"/>
      <c r="R740" s="1178"/>
      <c r="S740" s="1178"/>
      <c r="T740" s="1179"/>
      <c r="U740" s="1180"/>
      <c r="V740" s="1180"/>
      <c r="W740" s="1181"/>
      <c r="X740" s="1182"/>
      <c r="Y740" s="1183"/>
      <c r="Z740" s="1183"/>
      <c r="AA740" s="1183"/>
      <c r="AB740" s="1184"/>
      <c r="AC740" s="1185">
        <f>X740*O740</f>
        <v>0</v>
      </c>
      <c r="AD740" s="1186"/>
      <c r="AE740" s="1186"/>
      <c r="AF740" s="1186"/>
      <c r="AG740" s="1187"/>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35" customHeight="1">
      <c r="J741" s="1174"/>
      <c r="K741" s="1175"/>
      <c r="L741" s="1175"/>
      <c r="M741" s="1175"/>
      <c r="N741" s="1176"/>
      <c r="O741" s="1178"/>
      <c r="P741" s="1178"/>
      <c r="Q741" s="1178"/>
      <c r="R741" s="1178"/>
      <c r="S741" s="1178"/>
      <c r="T741" s="1179"/>
      <c r="U741" s="1180"/>
      <c r="V741" s="1180"/>
      <c r="W741" s="1181"/>
      <c r="X741" s="1182"/>
      <c r="Y741" s="1183"/>
      <c r="Z741" s="1183"/>
      <c r="AA741" s="1183"/>
      <c r="AB741" s="1184"/>
      <c r="AC741" s="1185">
        <f>X741*O741</f>
        <v>0</v>
      </c>
      <c r="AD741" s="1186"/>
      <c r="AE741" s="1186"/>
      <c r="AF741" s="1186"/>
      <c r="AG741" s="118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35" customHeight="1">
      <c r="J742" s="1049" t="s">
        <v>1453</v>
      </c>
      <c r="K742" s="1050"/>
      <c r="L742" s="1050"/>
      <c r="M742" s="1050"/>
      <c r="N742" s="1052"/>
      <c r="O742" s="1192">
        <f>SUM(O738:S741)</f>
        <v>1</v>
      </c>
      <c r="P742" s="1193"/>
      <c r="Q742" s="1193"/>
      <c r="R742" s="1193"/>
      <c r="S742" s="1195"/>
      <c r="X742" s="1049" t="s">
        <v>1454</v>
      </c>
      <c r="Y742" s="1050"/>
      <c r="Z742" s="1050"/>
      <c r="AA742" s="1050"/>
      <c r="AB742" s="1052"/>
      <c r="AC742" s="1185">
        <f>SUM(AC738:AG741)</f>
        <v>0</v>
      </c>
      <c r="AD742" s="1186"/>
      <c r="AE742" s="1186"/>
      <c r="AF742" s="1186"/>
      <c r="AG742" s="118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35" customHeight="1">
      <c r="J743" s="55"/>
      <c r="K743" s="55"/>
      <c r="L743" s="55"/>
      <c r="M743" s="55"/>
      <c r="N743" s="55"/>
      <c r="O743" s="414"/>
      <c r="P743" s="414"/>
      <c r="Q743" s="414"/>
      <c r="R743" s="414"/>
      <c r="S743" s="414"/>
      <c r="T743" s="55"/>
      <c r="U743" s="55"/>
      <c r="V743" s="55"/>
      <c r="W743" s="55"/>
      <c r="X743" s="55"/>
      <c r="Y743" s="829"/>
      <c r="Z743" s="1"/>
      <c r="AA743" s="1"/>
      <c r="AB743" s="1"/>
      <c r="AC743" s="1"/>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35" customHeight="1">
      <c r="B744" s="55"/>
      <c r="C744" s="55"/>
      <c r="D744" s="55"/>
      <c r="E744" s="55"/>
      <c r="F744" s="55"/>
      <c r="G744" s="414"/>
      <c r="H744" s="414"/>
      <c r="I744" s="414"/>
      <c r="J744" s="1071" t="s">
        <v>712</v>
      </c>
      <c r="K744" s="1071"/>
      <c r="L744" s="55"/>
      <c r="M744" s="351" t="s">
        <v>1463</v>
      </c>
      <c r="N744" s="55"/>
      <c r="O744" s="55"/>
      <c r="P744" s="55"/>
      <c r="Q744" s="414"/>
      <c r="R744" s="414"/>
      <c r="S744" s="414"/>
      <c r="T744" s="414"/>
      <c r="U744" s="414"/>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35" customHeight="1">
      <c r="B745" s="55"/>
      <c r="C745" s="55"/>
      <c r="D745" s="55"/>
      <c r="E745" s="55"/>
      <c r="F745" s="55"/>
      <c r="G745" s="414"/>
      <c r="H745" s="414"/>
      <c r="I745" s="414"/>
      <c r="J745" s="414"/>
      <c r="K745" s="414"/>
      <c r="L745" s="55"/>
      <c r="M745" s="351" t="s">
        <v>1464</v>
      </c>
      <c r="N745" s="55"/>
      <c r="O745" s="55"/>
      <c r="P745" s="55"/>
      <c r="Q745" s="414"/>
      <c r="R745" s="414"/>
      <c r="S745" s="414"/>
      <c r="T745" s="414"/>
      <c r="U745" s="414"/>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35" customHeight="1">
      <c r="A746" s="3" t="s">
        <v>970</v>
      </c>
      <c r="B746" s="56"/>
      <c r="C746" s="56" t="s">
        <v>204</v>
      </c>
      <c r="D746" s="55"/>
      <c r="E746" s="55"/>
      <c r="F746" s="55"/>
      <c r="G746" s="414"/>
      <c r="H746" s="414"/>
      <c r="I746" s="414"/>
      <c r="J746" s="414"/>
      <c r="K746" s="414"/>
      <c r="L746" s="55"/>
      <c r="M746" s="55"/>
      <c r="N746" s="55"/>
      <c r="O746" s="55"/>
      <c r="P746" s="55"/>
      <c r="Q746" s="414"/>
      <c r="R746" s="414"/>
      <c r="S746" s="414"/>
      <c r="T746" s="414"/>
      <c r="U746" s="414"/>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35" customHeight="1">
      <c r="B747" s="55"/>
      <c r="C747" s="55"/>
      <c r="D747" s="55"/>
      <c r="E747" s="55"/>
      <c r="F747" s="55"/>
      <c r="G747" s="414"/>
      <c r="H747" s="414"/>
      <c r="I747" s="414"/>
      <c r="J747" s="414"/>
      <c r="K747" s="414"/>
      <c r="L747" s="55"/>
      <c r="M747" s="55"/>
      <c r="N747" s="55"/>
      <c r="O747" s="55"/>
      <c r="P747" s="55"/>
      <c r="Q747" s="414"/>
      <c r="R747" s="414"/>
      <c r="S747" s="414"/>
      <c r="T747" s="414"/>
      <c r="U747" s="414"/>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35" customHeight="1">
      <c r="J748" s="1200" t="s">
        <v>1442</v>
      </c>
      <c r="K748" s="1201"/>
      <c r="L748" s="1201"/>
      <c r="M748" s="1201"/>
      <c r="N748" s="1202"/>
      <c r="O748" s="1215" t="s">
        <v>1443</v>
      </c>
      <c r="P748" s="1215"/>
      <c r="Q748" s="1215"/>
      <c r="R748" s="1215"/>
      <c r="S748" s="1215"/>
      <c r="T748" s="1436" t="s">
        <v>1444</v>
      </c>
      <c r="U748" s="1437"/>
      <c r="V748" s="1437"/>
      <c r="W748" s="1438"/>
      <c r="X748" s="1200" t="s">
        <v>1445</v>
      </c>
      <c r="Y748" s="1201"/>
      <c r="Z748" s="1201"/>
      <c r="AA748" s="1201"/>
      <c r="AB748" s="1202"/>
      <c r="AC748" s="1200" t="s">
        <v>1446</v>
      </c>
      <c r="AD748" s="1201"/>
      <c r="AE748" s="1201"/>
      <c r="AF748" s="1201"/>
      <c r="AG748" s="1202"/>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35" customHeight="1">
      <c r="J749" s="1203"/>
      <c r="K749" s="1204"/>
      <c r="L749" s="1204"/>
      <c r="M749" s="1204"/>
      <c r="N749" s="1205"/>
      <c r="O749" s="1215"/>
      <c r="P749" s="1215"/>
      <c r="Q749" s="1215"/>
      <c r="R749" s="1215"/>
      <c r="S749" s="1215"/>
      <c r="T749" s="1439"/>
      <c r="U749" s="1440"/>
      <c r="V749" s="1440"/>
      <c r="W749" s="1441"/>
      <c r="X749" s="1203"/>
      <c r="Y749" s="1204"/>
      <c r="Z749" s="1204"/>
      <c r="AA749" s="1204"/>
      <c r="AB749" s="1205"/>
      <c r="AC749" s="1203"/>
      <c r="AD749" s="1204"/>
      <c r="AE749" s="1204"/>
      <c r="AF749" s="1204"/>
      <c r="AG749" s="1205"/>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35" customHeight="1">
      <c r="J750" s="1203"/>
      <c r="K750" s="1204"/>
      <c r="L750" s="1204"/>
      <c r="M750" s="1204"/>
      <c r="N750" s="1205"/>
      <c r="O750" s="1215"/>
      <c r="P750" s="1215"/>
      <c r="Q750" s="1215"/>
      <c r="R750" s="1215"/>
      <c r="S750" s="1215"/>
      <c r="T750" s="1439"/>
      <c r="U750" s="1440"/>
      <c r="V750" s="1440"/>
      <c r="W750" s="1441"/>
      <c r="X750" s="1203"/>
      <c r="Y750" s="1204"/>
      <c r="Z750" s="1204"/>
      <c r="AA750" s="1204"/>
      <c r="AB750" s="1205"/>
      <c r="AC750" s="1203"/>
      <c r="AD750" s="1204"/>
      <c r="AE750" s="1204"/>
      <c r="AF750" s="1204"/>
      <c r="AG750" s="1205"/>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3.35" customHeight="1">
      <c r="J751" s="1206"/>
      <c r="K751" s="1207"/>
      <c r="L751" s="1207"/>
      <c r="M751" s="1207"/>
      <c r="N751" s="1208"/>
      <c r="O751" s="1215"/>
      <c r="P751" s="1215"/>
      <c r="Q751" s="1215"/>
      <c r="R751" s="1215"/>
      <c r="S751" s="1215"/>
      <c r="T751" s="1445"/>
      <c r="U751" s="1446"/>
      <c r="V751" s="1446"/>
      <c r="W751" s="1447"/>
      <c r="X751" s="1206"/>
      <c r="Y751" s="1207"/>
      <c r="Z751" s="1207"/>
      <c r="AA751" s="1207"/>
      <c r="AB751" s="1208"/>
      <c r="AC751" s="1206"/>
      <c r="AD751" s="1207"/>
      <c r="AE751" s="1207"/>
      <c r="AF751" s="1207"/>
      <c r="AG751" s="1208"/>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3.35" customHeight="1">
      <c r="J752" s="1174"/>
      <c r="K752" s="1175"/>
      <c r="L752" s="1175"/>
      <c r="M752" s="1175"/>
      <c r="N752" s="1176"/>
      <c r="O752" s="1178"/>
      <c r="P752" s="1178"/>
      <c r="Q752" s="1178"/>
      <c r="R752" s="1178"/>
      <c r="S752" s="1178"/>
      <c r="T752" s="1179"/>
      <c r="U752" s="1180"/>
      <c r="V752" s="1180"/>
      <c r="W752" s="1181"/>
      <c r="X752" s="1182"/>
      <c r="Y752" s="1183"/>
      <c r="Z752" s="1183"/>
      <c r="AA752" s="1183"/>
      <c r="AB752" s="1184"/>
      <c r="AC752" s="1185">
        <f t="shared" ref="AC752:AC761" si="34">X752*O752</f>
        <v>0</v>
      </c>
      <c r="AD752" s="1186"/>
      <c r="AE752" s="1186"/>
      <c r="AF752" s="1186"/>
      <c r="AG752" s="118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35" customHeight="1">
      <c r="J753" s="1174"/>
      <c r="K753" s="1175"/>
      <c r="L753" s="1175"/>
      <c r="M753" s="1175"/>
      <c r="N753" s="1176"/>
      <c r="O753" s="1178"/>
      <c r="P753" s="1178"/>
      <c r="Q753" s="1178"/>
      <c r="R753" s="1178"/>
      <c r="S753" s="1178"/>
      <c r="T753" s="1179"/>
      <c r="U753" s="1180"/>
      <c r="V753" s="1180"/>
      <c r="W753" s="1181"/>
      <c r="X753" s="1182"/>
      <c r="Y753" s="1183"/>
      <c r="Z753" s="1183"/>
      <c r="AA753" s="1183"/>
      <c r="AB753" s="1184"/>
      <c r="AC753" s="1185">
        <f t="shared" si="34"/>
        <v>0</v>
      </c>
      <c r="AD753" s="1186"/>
      <c r="AE753" s="1186"/>
      <c r="AF753" s="1186"/>
      <c r="AG753" s="118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35" customHeight="1">
      <c r="J754" s="1174"/>
      <c r="K754" s="1175"/>
      <c r="L754" s="1175"/>
      <c r="M754" s="1175"/>
      <c r="N754" s="1176"/>
      <c r="O754" s="1178"/>
      <c r="P754" s="1178"/>
      <c r="Q754" s="1178"/>
      <c r="R754" s="1178"/>
      <c r="S754" s="1178"/>
      <c r="T754" s="1179"/>
      <c r="U754" s="1180"/>
      <c r="V754" s="1180"/>
      <c r="W754" s="1181"/>
      <c r="X754" s="1182"/>
      <c r="Y754" s="1183"/>
      <c r="Z754" s="1183"/>
      <c r="AA754" s="1183"/>
      <c r="AB754" s="1184"/>
      <c r="AC754" s="1185">
        <f t="shared" si="34"/>
        <v>0</v>
      </c>
      <c r="AD754" s="1186"/>
      <c r="AE754" s="1186"/>
      <c r="AF754" s="1186"/>
      <c r="AG754" s="118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35" customHeight="1">
      <c r="J755" s="1174"/>
      <c r="K755" s="1175"/>
      <c r="L755" s="1175"/>
      <c r="M755" s="1175"/>
      <c r="N755" s="1176"/>
      <c r="O755" s="1178"/>
      <c r="P755" s="1178"/>
      <c r="Q755" s="1178"/>
      <c r="R755" s="1178"/>
      <c r="S755" s="1178"/>
      <c r="T755" s="1179"/>
      <c r="U755" s="1180"/>
      <c r="V755" s="1180"/>
      <c r="W755" s="1181"/>
      <c r="X755" s="1182"/>
      <c r="Y755" s="1183"/>
      <c r="Z755" s="1183"/>
      <c r="AA755" s="1183"/>
      <c r="AB755" s="1184"/>
      <c r="AC755" s="1185">
        <f t="shared" si="34"/>
        <v>0</v>
      </c>
      <c r="AD755" s="1186"/>
      <c r="AE755" s="1186"/>
      <c r="AF755" s="1186"/>
      <c r="AG755" s="1187"/>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35" customHeight="1">
      <c r="J756" s="1174"/>
      <c r="K756" s="1175"/>
      <c r="L756" s="1175"/>
      <c r="M756" s="1175"/>
      <c r="N756" s="1176"/>
      <c r="O756" s="1178"/>
      <c r="P756" s="1178"/>
      <c r="Q756" s="1178"/>
      <c r="R756" s="1178"/>
      <c r="S756" s="1178"/>
      <c r="T756" s="1179"/>
      <c r="U756" s="1180"/>
      <c r="V756" s="1180"/>
      <c r="W756" s="1181"/>
      <c r="X756" s="1182"/>
      <c r="Y756" s="1183"/>
      <c r="Z756" s="1183"/>
      <c r="AA756" s="1183"/>
      <c r="AB756" s="1184"/>
      <c r="AC756" s="1185">
        <f t="shared" si="34"/>
        <v>0</v>
      </c>
      <c r="AD756" s="1186"/>
      <c r="AE756" s="1186"/>
      <c r="AF756" s="1186"/>
      <c r="AG756" s="1187"/>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35" customHeight="1">
      <c r="J757" s="1174"/>
      <c r="K757" s="1175"/>
      <c r="L757" s="1175"/>
      <c r="M757" s="1175"/>
      <c r="N757" s="1176"/>
      <c r="O757" s="1178"/>
      <c r="P757" s="1178"/>
      <c r="Q757" s="1178"/>
      <c r="R757" s="1178"/>
      <c r="S757" s="1178"/>
      <c r="T757" s="1179"/>
      <c r="U757" s="1180"/>
      <c r="V757" s="1180"/>
      <c r="W757" s="1181"/>
      <c r="X757" s="1182"/>
      <c r="Y757" s="1183"/>
      <c r="Z757" s="1183"/>
      <c r="AA757" s="1183"/>
      <c r="AB757" s="1184"/>
      <c r="AC757" s="1185">
        <f t="shared" si="34"/>
        <v>0</v>
      </c>
      <c r="AD757" s="1186"/>
      <c r="AE757" s="1186"/>
      <c r="AF757" s="1186"/>
      <c r="AG757" s="1187"/>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35" customHeight="1">
      <c r="J758" s="1174"/>
      <c r="K758" s="1175"/>
      <c r="L758" s="1175"/>
      <c r="M758" s="1175"/>
      <c r="N758" s="1176"/>
      <c r="O758" s="1178"/>
      <c r="P758" s="1178"/>
      <c r="Q758" s="1178"/>
      <c r="R758" s="1178"/>
      <c r="S758" s="1178"/>
      <c r="T758" s="1179"/>
      <c r="U758" s="1180"/>
      <c r="V758" s="1180"/>
      <c r="W758" s="1181"/>
      <c r="X758" s="1182"/>
      <c r="Y758" s="1183"/>
      <c r="Z758" s="1183"/>
      <c r="AA758" s="1183"/>
      <c r="AB758" s="1184"/>
      <c r="AC758" s="1185">
        <f t="shared" si="34"/>
        <v>0</v>
      </c>
      <c r="AD758" s="1186"/>
      <c r="AE758" s="1186"/>
      <c r="AF758" s="1186"/>
      <c r="AG758" s="1187"/>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35" customHeight="1">
      <c r="J759" s="1174"/>
      <c r="K759" s="1175"/>
      <c r="L759" s="1175"/>
      <c r="M759" s="1175"/>
      <c r="N759" s="1176"/>
      <c r="O759" s="1178"/>
      <c r="P759" s="1178"/>
      <c r="Q759" s="1178"/>
      <c r="R759" s="1178"/>
      <c r="S759" s="1178"/>
      <c r="T759" s="1179"/>
      <c r="U759" s="1180"/>
      <c r="V759" s="1180"/>
      <c r="W759" s="1181"/>
      <c r="X759" s="1182"/>
      <c r="Y759" s="1183"/>
      <c r="Z759" s="1183"/>
      <c r="AA759" s="1183"/>
      <c r="AB759" s="1184"/>
      <c r="AC759" s="1185">
        <f t="shared" si="34"/>
        <v>0</v>
      </c>
      <c r="AD759" s="1186"/>
      <c r="AE759" s="1186"/>
      <c r="AF759" s="1186"/>
      <c r="AG759" s="1187"/>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35" customHeight="1">
      <c r="J760" s="1174"/>
      <c r="K760" s="1175"/>
      <c r="L760" s="1175"/>
      <c r="M760" s="1175"/>
      <c r="N760" s="1176"/>
      <c r="O760" s="1178"/>
      <c r="P760" s="1178"/>
      <c r="Q760" s="1178"/>
      <c r="R760" s="1178"/>
      <c r="S760" s="1178"/>
      <c r="T760" s="1179"/>
      <c r="U760" s="1180"/>
      <c r="V760" s="1180"/>
      <c r="W760" s="1181"/>
      <c r="X760" s="1182"/>
      <c r="Y760" s="1183"/>
      <c r="Z760" s="1183"/>
      <c r="AA760" s="1183"/>
      <c r="AB760" s="1184"/>
      <c r="AC760" s="1185">
        <f t="shared" si="34"/>
        <v>0</v>
      </c>
      <c r="AD760" s="1186"/>
      <c r="AE760" s="1186"/>
      <c r="AF760" s="1186"/>
      <c r="AG760" s="1187"/>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35" customHeight="1">
      <c r="J761" s="1174"/>
      <c r="K761" s="1175"/>
      <c r="L761" s="1175"/>
      <c r="M761" s="1175"/>
      <c r="N761" s="1176"/>
      <c r="O761" s="1178"/>
      <c r="P761" s="1178"/>
      <c r="Q761" s="1178"/>
      <c r="R761" s="1178"/>
      <c r="S761" s="1178"/>
      <c r="T761" s="1179"/>
      <c r="U761" s="1180"/>
      <c r="V761" s="1180"/>
      <c r="W761" s="1181"/>
      <c r="X761" s="1182"/>
      <c r="Y761" s="1183"/>
      <c r="Z761" s="1183"/>
      <c r="AA761" s="1183"/>
      <c r="AB761" s="1184"/>
      <c r="AC761" s="1185">
        <f t="shared" si="34"/>
        <v>0</v>
      </c>
      <c r="AD761" s="1186"/>
      <c r="AE761" s="1186"/>
      <c r="AF761" s="1186"/>
      <c r="AG761" s="1187"/>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35" customHeight="1">
      <c r="J762" s="1049" t="s">
        <v>1453</v>
      </c>
      <c r="K762" s="1050"/>
      <c r="L762" s="1050"/>
      <c r="M762" s="1050"/>
      <c r="N762" s="1052"/>
      <c r="O762" s="1190">
        <f>SUM(O752:S761)</f>
        <v>0</v>
      </c>
      <c r="P762" s="1190"/>
      <c r="Q762" s="1190"/>
      <c r="R762" s="1190"/>
      <c r="S762" s="1190"/>
      <c r="X762" s="361" t="s">
        <v>1454</v>
      </c>
      <c r="Y762" s="146"/>
      <c r="Z762" s="146"/>
      <c r="AA762" s="146"/>
      <c r="AB762" s="750"/>
      <c r="AC762" s="1185">
        <f>SUM(AC752:AG761)</f>
        <v>0</v>
      </c>
      <c r="AD762" s="1186"/>
      <c r="AE762" s="1186"/>
      <c r="AF762" s="1186"/>
      <c r="AG762" s="1187"/>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35" customHeight="1">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35" customHeight="1">
      <c r="J764" s="8"/>
      <c r="K764" s="9"/>
      <c r="L764" s="9"/>
      <c r="M764" s="9"/>
      <c r="N764" s="9"/>
      <c r="O764" s="9"/>
      <c r="P764" s="9"/>
      <c r="Q764" s="9"/>
      <c r="R764" s="9"/>
      <c r="S764" s="9"/>
      <c r="T764" s="9"/>
      <c r="U764" s="9"/>
      <c r="V764" s="9"/>
      <c r="W764" s="9"/>
      <c r="X764" s="53" t="s">
        <v>1465</v>
      </c>
      <c r="Y764" s="1112">
        <f>T717+AC742+AC762</f>
        <v>29953</v>
      </c>
      <c r="Z764" s="1112"/>
      <c r="AA764" s="1112"/>
      <c r="AB764" s="1112"/>
      <c r="AC764" s="1112"/>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35" customHeight="1">
      <c r="J765" s="46"/>
      <c r="K765" s="47"/>
      <c r="L765" s="47"/>
      <c r="M765" s="47"/>
      <c r="N765" s="47"/>
      <c r="O765" s="47"/>
      <c r="P765" s="47"/>
      <c r="Q765" s="47"/>
      <c r="R765" s="47"/>
      <c r="S765" s="47"/>
      <c r="T765" s="47"/>
      <c r="U765" s="47"/>
      <c r="V765" s="47"/>
      <c r="W765" s="47"/>
      <c r="X765" s="149" t="s">
        <v>1466</v>
      </c>
      <c r="Y765" s="1112">
        <f>(T717+AC742+AC762)*12</f>
        <v>359436</v>
      </c>
      <c r="Z765" s="1112"/>
      <c r="AA765" s="1112"/>
      <c r="AB765" s="1112"/>
      <c r="AC765" s="1112"/>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35" customHeight="1">
      <c r="B766" s="3"/>
      <c r="X766" s="2"/>
      <c r="Y766" s="2"/>
      <c r="Z766" s="2"/>
      <c r="AA766" s="2"/>
      <c r="AB766" s="2"/>
      <c r="AC766" s="2"/>
      <c r="AD766" s="2"/>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35" customHeight="1">
      <c r="A767" s="3" t="s">
        <v>991</v>
      </c>
      <c r="B767" s="3"/>
      <c r="C767" s="3" t="s">
        <v>207</v>
      </c>
      <c r="X767" s="2"/>
      <c r="Y767" s="2"/>
      <c r="Z767" s="2"/>
      <c r="AA767" s="2"/>
      <c r="AB767" s="2"/>
      <c r="AC767" s="2"/>
      <c r="AD767" s="2"/>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35" customHeight="1">
      <c r="A768" s="3"/>
      <c r="B768" s="3"/>
      <c r="C768" s="3" t="s">
        <v>1467</v>
      </c>
      <c r="X768" s="2"/>
      <c r="Y768" s="2"/>
      <c r="Z768" s="2"/>
      <c r="AA768" s="2"/>
      <c r="AB768" s="2"/>
      <c r="AC768" s="2"/>
      <c r="AD768" s="2"/>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3.35" customHeight="1">
      <c r="B769" s="3"/>
      <c r="X769" s="2"/>
      <c r="Y769" s="2"/>
      <c r="Z769" s="2"/>
      <c r="AA769" s="2"/>
      <c r="AB769" s="2"/>
      <c r="AC769" s="2"/>
      <c r="AD769" s="2"/>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3.35" customHeight="1">
      <c r="H770" s="8" t="s">
        <v>1468</v>
      </c>
      <c r="I770" s="9"/>
      <c r="J770" s="9"/>
      <c r="K770" s="9"/>
      <c r="L770" s="9"/>
      <c r="M770" s="9"/>
      <c r="N770" s="9"/>
      <c r="O770" s="9"/>
      <c r="P770" s="9"/>
      <c r="Q770" s="9"/>
      <c r="R770" s="9"/>
      <c r="S770" s="9"/>
      <c r="T770" s="9"/>
      <c r="U770" s="9"/>
      <c r="V770" s="9"/>
      <c r="W770" s="9"/>
      <c r="X770" s="9"/>
      <c r="Y770" s="9"/>
      <c r="Z770" s="1212">
        <v>22</v>
      </c>
      <c r="AA770" s="1213"/>
      <c r="AB770" s="1213"/>
      <c r="AC770" s="1213"/>
      <c r="AD770" s="1213"/>
      <c r="AE770" s="1214"/>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3.35" customHeight="1">
      <c r="H771" s="8" t="s">
        <v>1469</v>
      </c>
      <c r="I771" s="9"/>
      <c r="J771" s="9"/>
      <c r="K771" s="9"/>
      <c r="L771" s="9"/>
      <c r="M771" s="9"/>
      <c r="N771" s="9"/>
      <c r="O771" s="9"/>
      <c r="P771" s="9"/>
      <c r="Q771" s="9"/>
      <c r="R771" s="9"/>
      <c r="S771" s="9"/>
      <c r="T771" s="9"/>
      <c r="U771" s="9"/>
      <c r="V771" s="9"/>
      <c r="W771" s="9"/>
      <c r="X771" s="9"/>
      <c r="Y771" s="9"/>
      <c r="Z771" s="1384">
        <v>20</v>
      </c>
      <c r="AA771" s="1213"/>
      <c r="AB771" s="1213"/>
      <c r="AC771" s="1213"/>
      <c r="AD771" s="1213"/>
      <c r="AE771" s="1214"/>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3.35" customHeight="1">
      <c r="H772" s="8" t="s">
        <v>1470</v>
      </c>
      <c r="I772" s="9"/>
      <c r="J772" s="9"/>
      <c r="K772" s="9"/>
      <c r="L772" s="9"/>
      <c r="M772" s="9"/>
      <c r="N772" s="9"/>
      <c r="O772" s="9"/>
      <c r="P772" s="9"/>
      <c r="Q772" s="9"/>
      <c r="R772" s="9"/>
      <c r="S772" s="9"/>
      <c r="T772" s="9"/>
      <c r="U772" s="9"/>
      <c r="V772" s="9"/>
      <c r="W772" s="9"/>
      <c r="X772" s="9"/>
      <c r="Y772" s="9"/>
      <c r="Z772" s="1385">
        <v>53022</v>
      </c>
      <c r="AA772" s="1158"/>
      <c r="AB772" s="1158"/>
      <c r="AC772" s="1158"/>
      <c r="AD772" s="1158"/>
      <c r="AE772" s="1159"/>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3.35" customHeight="1">
      <c r="H773" s="8"/>
      <c r="I773" s="9"/>
      <c r="J773" s="9"/>
      <c r="K773" s="9"/>
      <c r="L773" s="9"/>
      <c r="M773" s="9"/>
      <c r="N773" s="9"/>
      <c r="O773" s="9"/>
      <c r="P773" s="9"/>
      <c r="Q773" s="9"/>
      <c r="R773" s="9"/>
      <c r="S773" s="9"/>
      <c r="T773" s="9"/>
      <c r="U773" s="9"/>
      <c r="V773" s="9"/>
      <c r="W773" s="9"/>
      <c r="X773" s="9"/>
      <c r="Y773" s="52" t="s">
        <v>1471</v>
      </c>
      <c r="Z773" s="1109">
        <f>'Subsidy Contract Calculation'!I30</f>
        <v>328680</v>
      </c>
      <c r="AA773" s="1110"/>
      <c r="AB773" s="1110"/>
      <c r="AC773" s="1110"/>
      <c r="AD773" s="1110"/>
      <c r="AE773" s="1111"/>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3.35" customHeight="1">
      <c r="X774" s="2"/>
      <c r="Y774" s="2"/>
      <c r="Z774" s="2"/>
      <c r="AA774" s="2"/>
      <c r="AB774" s="2"/>
      <c r="AC774" s="2"/>
      <c r="AD774" s="2"/>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3.35" customHeight="1">
      <c r="A775" s="3" t="s">
        <v>1006</v>
      </c>
      <c r="B775" s="3"/>
      <c r="C775" s="3" t="s">
        <v>210</v>
      </c>
      <c r="X775" s="2"/>
      <c r="Y775" s="2"/>
      <c r="Z775" s="2"/>
      <c r="AA775" s="2"/>
      <c r="AB775" s="2"/>
      <c r="AC775" s="2"/>
      <c r="AD775" s="2"/>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35" customHeight="1">
      <c r="X776" s="2"/>
      <c r="Y776" s="2"/>
      <c r="Z776" s="2"/>
      <c r="AA776" s="2"/>
      <c r="AB776" s="2"/>
      <c r="AC776" s="2"/>
      <c r="AD776" s="2"/>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3.35" customHeight="1">
      <c r="H777" s="8" t="s">
        <v>1472</v>
      </c>
      <c r="I777" s="9"/>
      <c r="J777" s="9"/>
      <c r="K777" s="9"/>
      <c r="L777" s="9"/>
      <c r="M777" s="9"/>
      <c r="N777" s="9"/>
      <c r="O777" s="9"/>
      <c r="P777" s="9"/>
      <c r="Q777" s="9"/>
      <c r="R777" s="9"/>
      <c r="S777" s="9"/>
      <c r="T777" s="9"/>
      <c r="U777" s="9"/>
      <c r="V777" s="9"/>
      <c r="W777" s="9"/>
      <c r="X777" s="9"/>
      <c r="Y777" s="9"/>
      <c r="Z777" s="1100">
        <v>10000</v>
      </c>
      <c r="AA777" s="1101"/>
      <c r="AB777" s="1101"/>
      <c r="AC777" s="1101"/>
      <c r="AD777" s="1101"/>
      <c r="AE777" s="1102"/>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3.35" customHeight="1">
      <c r="H778" s="8" t="s">
        <v>1473</v>
      </c>
      <c r="I778" s="9"/>
      <c r="J778" s="9"/>
      <c r="K778" s="9"/>
      <c r="L778" s="9"/>
      <c r="M778" s="9"/>
      <c r="N778" s="9"/>
      <c r="O778" s="9"/>
      <c r="P778" s="9"/>
      <c r="Q778" s="9"/>
      <c r="R778" s="9"/>
      <c r="S778" s="9"/>
      <c r="T778" s="9"/>
      <c r="U778" s="9"/>
      <c r="V778" s="9"/>
      <c r="W778" s="9"/>
      <c r="X778" s="9"/>
      <c r="Y778" s="9"/>
      <c r="Z778" s="1100">
        <v>9448</v>
      </c>
      <c r="AA778" s="1101"/>
      <c r="AB778" s="1101"/>
      <c r="AC778" s="1101"/>
      <c r="AD778" s="1101"/>
      <c r="AE778" s="1102"/>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3.35" customHeight="1">
      <c r="H779" s="8" t="s">
        <v>1474</v>
      </c>
      <c r="I779" s="9"/>
      <c r="J779" s="9"/>
      <c r="K779" s="9"/>
      <c r="L779" s="9"/>
      <c r="M779" s="9"/>
      <c r="N779" s="9"/>
      <c r="O779" s="9"/>
      <c r="P779" s="9"/>
      <c r="Q779" s="9"/>
      <c r="R779" s="9"/>
      <c r="S779" s="9"/>
      <c r="T779" s="9"/>
      <c r="U779" s="9"/>
      <c r="V779" s="9"/>
      <c r="W779" s="9"/>
      <c r="X779" s="9"/>
      <c r="Y779" s="9"/>
      <c r="Z779" s="1100">
        <v>2500</v>
      </c>
      <c r="AA779" s="1101"/>
      <c r="AB779" s="1101"/>
      <c r="AC779" s="1101"/>
      <c r="AD779" s="1101"/>
      <c r="AE779" s="1102"/>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3.35" customHeight="1">
      <c r="H780" s="8" t="s">
        <v>1475</v>
      </c>
      <c r="I780" s="9"/>
      <c r="J780" s="9"/>
      <c r="K780" s="9"/>
      <c r="L780" s="9"/>
      <c r="M780" s="9"/>
      <c r="N780" s="9"/>
      <c r="O780" s="9"/>
      <c r="P780" s="1097" t="s">
        <v>1317</v>
      </c>
      <c r="Q780" s="1098"/>
      <c r="R780" s="1098"/>
      <c r="S780" s="1098"/>
      <c r="T780" s="1098"/>
      <c r="U780" s="1098"/>
      <c r="V780" s="1098"/>
      <c r="W780" s="1098"/>
      <c r="X780" s="1098"/>
      <c r="Y780" s="1099"/>
      <c r="Z780" s="1100"/>
      <c r="AA780" s="1101"/>
      <c r="AB780" s="1101"/>
      <c r="AC780" s="1101"/>
      <c r="AD780" s="1101"/>
      <c r="AE780" s="1102"/>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35" customHeight="1">
      <c r="H781" s="8"/>
      <c r="I781" s="9"/>
      <c r="J781" s="9"/>
      <c r="K781" s="9"/>
      <c r="L781" s="9"/>
      <c r="M781" s="9"/>
      <c r="N781" s="9"/>
      <c r="O781" s="9"/>
      <c r="P781" s="9"/>
      <c r="Q781" s="9"/>
      <c r="R781" s="9"/>
      <c r="S781" s="9"/>
      <c r="T781" s="9"/>
      <c r="U781" s="9"/>
      <c r="V781" s="9"/>
      <c r="W781" s="9"/>
      <c r="X781" s="9"/>
      <c r="Y781" s="52" t="s">
        <v>1476</v>
      </c>
      <c r="Z781" s="1106">
        <f>SUM(Z777:AE780)</f>
        <v>21948</v>
      </c>
      <c r="AA781" s="1107"/>
      <c r="AB781" s="1107"/>
      <c r="AC781" s="1107"/>
      <c r="AD781" s="1107"/>
      <c r="AE781" s="1108"/>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3.35" customHeight="1">
      <c r="H782" s="8"/>
      <c r="I782" s="9"/>
      <c r="J782" s="9"/>
      <c r="K782" s="9"/>
      <c r="L782" s="9"/>
      <c r="M782" s="9"/>
      <c r="N782" s="9"/>
      <c r="O782" s="9"/>
      <c r="P782" s="9"/>
      <c r="Q782" s="9"/>
      <c r="R782" s="9"/>
      <c r="S782" s="9"/>
      <c r="T782" s="9"/>
      <c r="U782" s="9"/>
      <c r="V782" s="9"/>
      <c r="W782" s="9"/>
      <c r="X782" s="9"/>
      <c r="Y782" s="52" t="s">
        <v>1477</v>
      </c>
      <c r="Z782" s="1106">
        <f>Z781+Y765+Z773</f>
        <v>710064</v>
      </c>
      <c r="AA782" s="1107"/>
      <c r="AB782" s="1107"/>
      <c r="AC782" s="1107"/>
      <c r="AD782" s="1107"/>
      <c r="AE782" s="1108"/>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35" customHeight="1">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3.35" customHeight="1">
      <c r="A784" s="3" t="s">
        <v>1016</v>
      </c>
      <c r="B784" s="3"/>
      <c r="C784" s="3" t="s">
        <v>213</v>
      </c>
      <c r="W784" s="55"/>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3:97" ht="13.35" customHeight="1">
      <c r="C785" s="4" t="s">
        <v>1478</v>
      </c>
      <c r="W785" s="55"/>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3:97" ht="13.35" customHeight="1">
      <c r="C786" s="4"/>
      <c r="W786" s="55"/>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3:97" ht="13.35" customHeight="1">
      <c r="C787" s="6"/>
      <c r="D787" s="7"/>
      <c r="E787" s="7"/>
      <c r="F787" s="7"/>
      <c r="G787" s="7"/>
      <c r="H787" s="7"/>
      <c r="I787" s="7"/>
      <c r="J787" s="7"/>
      <c r="K787" s="7"/>
      <c r="L787" s="57"/>
      <c r="M787" s="1128" t="s">
        <v>1479</v>
      </c>
      <c r="N787" s="1128"/>
      <c r="O787" s="1128"/>
      <c r="P787" s="1451"/>
      <c r="Q787" s="1177" t="s">
        <v>1480</v>
      </c>
      <c r="R787" s="1177"/>
      <c r="S787" s="1177"/>
      <c r="T787" s="1177"/>
      <c r="U787" s="1177" t="s">
        <v>1481</v>
      </c>
      <c r="V787" s="1177"/>
      <c r="W787" s="1177"/>
      <c r="X787" s="1177"/>
      <c r="Y787" s="1177" t="s">
        <v>1482</v>
      </c>
      <c r="Z787" s="1177"/>
      <c r="AA787" s="1177"/>
      <c r="AB787" s="1177"/>
      <c r="AC787" s="1177" t="s">
        <v>1483</v>
      </c>
      <c r="AD787" s="1177"/>
      <c r="AE787" s="1177"/>
      <c r="AF787" s="1177"/>
      <c r="AG787" s="1449" t="s">
        <v>1484</v>
      </c>
      <c r="AH787" s="1449"/>
      <c r="AI787" s="1449"/>
      <c r="AJ787" s="1449"/>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3:97" ht="13.35" customHeight="1">
      <c r="C788" s="46"/>
      <c r="D788" s="47"/>
      <c r="E788" s="47"/>
      <c r="F788" s="47"/>
      <c r="G788" s="47"/>
      <c r="H788" s="47"/>
      <c r="I788" s="47"/>
      <c r="J788" s="47"/>
      <c r="K788" s="47"/>
      <c r="L788" s="48"/>
      <c r="M788" s="1132"/>
      <c r="N788" s="1132"/>
      <c r="O788" s="1132"/>
      <c r="P788" s="1220"/>
      <c r="Q788" s="1177"/>
      <c r="R788" s="1177"/>
      <c r="S788" s="1177"/>
      <c r="T788" s="1177"/>
      <c r="U788" s="1177"/>
      <c r="V788" s="1177"/>
      <c r="W788" s="1177"/>
      <c r="X788" s="1177"/>
      <c r="Y788" s="1177"/>
      <c r="Z788" s="1177"/>
      <c r="AA788" s="1177"/>
      <c r="AB788" s="1177"/>
      <c r="AC788" s="1177"/>
      <c r="AD788" s="1177"/>
      <c r="AE788" s="1177"/>
      <c r="AF788" s="1177"/>
      <c r="AG788" s="1449"/>
      <c r="AH788" s="1449"/>
      <c r="AI788" s="1449"/>
      <c r="AJ788" s="1449"/>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3:97" ht="13.35" customHeight="1">
      <c r="C789" s="1273" t="s">
        <v>1485</v>
      </c>
      <c r="D789" s="1236"/>
      <c r="E789" s="1236"/>
      <c r="F789" s="1236"/>
      <c r="G789" s="1236"/>
      <c r="H789" s="1236"/>
      <c r="I789" s="47"/>
      <c r="J789" s="47"/>
      <c r="K789" s="47"/>
      <c r="L789" s="48"/>
      <c r="M789" s="1450" t="s">
        <v>2531</v>
      </c>
      <c r="N789" s="1191"/>
      <c r="O789" s="1191"/>
      <c r="P789" s="1191"/>
      <c r="Q789" s="1191"/>
      <c r="R789" s="1191"/>
      <c r="S789" s="1191"/>
      <c r="T789" s="1191"/>
      <c r="U789" s="1191"/>
      <c r="V789" s="1191"/>
      <c r="W789" s="1191"/>
      <c r="X789" s="1191"/>
      <c r="Y789" s="1191"/>
      <c r="Z789" s="1191"/>
      <c r="AA789" s="1191"/>
      <c r="AB789" s="1191"/>
      <c r="AC789" s="1018"/>
      <c r="AD789" s="1019"/>
      <c r="AE789" s="1019"/>
      <c r="AF789" s="1020"/>
      <c r="AG789" s="1018"/>
      <c r="AH789" s="1019"/>
      <c r="AI789" s="1019"/>
      <c r="AJ789" s="1020"/>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3:97" ht="13.35" customHeight="1">
      <c r="C790" s="1188" t="s">
        <v>1486</v>
      </c>
      <c r="D790" s="1189"/>
      <c r="E790" s="1189"/>
      <c r="F790" s="1189"/>
      <c r="G790" s="1189"/>
      <c r="H790" s="1189"/>
      <c r="I790" s="9"/>
      <c r="J790" s="9"/>
      <c r="K790" s="9"/>
      <c r="L790" s="45"/>
      <c r="M790" s="1450" t="s">
        <v>2531</v>
      </c>
      <c r="N790" s="1191"/>
      <c r="O790" s="1191"/>
      <c r="P790" s="1191"/>
      <c r="Q790" s="1191"/>
      <c r="R790" s="1191"/>
      <c r="S790" s="1191"/>
      <c r="T790" s="1191"/>
      <c r="U790" s="1191"/>
      <c r="V790" s="1191"/>
      <c r="W790" s="1191"/>
      <c r="X790" s="1191"/>
      <c r="Y790" s="1191"/>
      <c r="Z790" s="1191"/>
      <c r="AA790" s="1191"/>
      <c r="AB790" s="1191"/>
      <c r="AC790" s="1018"/>
      <c r="AD790" s="1019"/>
      <c r="AE790" s="1019"/>
      <c r="AF790" s="1020"/>
      <c r="AG790" s="1018"/>
      <c r="AH790" s="1019"/>
      <c r="AI790" s="1019"/>
      <c r="AJ790" s="1020"/>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3:97" ht="13.35" customHeight="1">
      <c r="C791" s="1188" t="s">
        <v>1487</v>
      </c>
      <c r="D791" s="1189"/>
      <c r="E791" s="1189"/>
      <c r="F791" s="1189"/>
      <c r="G791" s="1189"/>
      <c r="H791" s="1189"/>
      <c r="I791" s="59"/>
      <c r="J791" s="59"/>
      <c r="K791" s="59"/>
      <c r="L791" s="60"/>
      <c r="M791" s="1450" t="s">
        <v>2531</v>
      </c>
      <c r="N791" s="1191"/>
      <c r="O791" s="1191"/>
      <c r="P791" s="1191"/>
      <c r="Q791" s="1191"/>
      <c r="R791" s="1191"/>
      <c r="S791" s="1191"/>
      <c r="T791" s="1191"/>
      <c r="U791" s="1191"/>
      <c r="V791" s="1191"/>
      <c r="W791" s="1191"/>
      <c r="X791" s="1191"/>
      <c r="Y791" s="1191"/>
      <c r="Z791" s="1191"/>
      <c r="AA791" s="1191"/>
      <c r="AB791" s="1191"/>
      <c r="AC791" s="1018"/>
      <c r="AD791" s="1019"/>
      <c r="AE791" s="1019"/>
      <c r="AF791" s="1020"/>
      <c r="AG791" s="1018"/>
      <c r="AH791" s="1019"/>
      <c r="AI791" s="1019"/>
      <c r="AJ791" s="1020"/>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3:97" ht="13.35" customHeight="1">
      <c r="C792" s="1188" t="s">
        <v>1488</v>
      </c>
      <c r="D792" s="1189"/>
      <c r="E792" s="1189"/>
      <c r="F792" s="1189"/>
      <c r="G792" s="1189"/>
      <c r="H792" s="1189"/>
      <c r="I792" s="59"/>
      <c r="J792" s="59"/>
      <c r="K792" s="59"/>
      <c r="L792" s="60"/>
      <c r="M792" s="1450" t="s">
        <v>2531</v>
      </c>
      <c r="N792" s="1191"/>
      <c r="O792" s="1191"/>
      <c r="P792" s="1191"/>
      <c r="Q792" s="1191"/>
      <c r="R792" s="1191"/>
      <c r="S792" s="1191"/>
      <c r="T792" s="1191"/>
      <c r="U792" s="1191"/>
      <c r="V792" s="1191"/>
      <c r="W792" s="1191"/>
      <c r="X792" s="1191"/>
      <c r="Y792" s="1191"/>
      <c r="Z792" s="1191"/>
      <c r="AA792" s="1191"/>
      <c r="AB792" s="1191"/>
      <c r="AC792" s="1018"/>
      <c r="AD792" s="1019"/>
      <c r="AE792" s="1019"/>
      <c r="AF792" s="1020"/>
      <c r="AG792" s="1018"/>
      <c r="AH792" s="1019"/>
      <c r="AI792" s="1019"/>
      <c r="AJ792" s="1020"/>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3:97" ht="13.35" customHeight="1">
      <c r="C793" s="1188" t="s">
        <v>1489</v>
      </c>
      <c r="D793" s="1189"/>
      <c r="E793" s="1189"/>
      <c r="F793" s="1189"/>
      <c r="G793" s="1189"/>
      <c r="H793" s="1189"/>
      <c r="I793" s="59"/>
      <c r="J793" s="59"/>
      <c r="K793" s="59"/>
      <c r="L793" s="60"/>
      <c r="M793" s="1191">
        <v>30</v>
      </c>
      <c r="N793" s="1191"/>
      <c r="O793" s="1191"/>
      <c r="P793" s="1191"/>
      <c r="Q793" s="1191">
        <v>36</v>
      </c>
      <c r="R793" s="1191"/>
      <c r="S793" s="1191"/>
      <c r="T793" s="1191"/>
      <c r="U793" s="1191">
        <v>44</v>
      </c>
      <c r="V793" s="1191"/>
      <c r="W793" s="1191"/>
      <c r="X793" s="1191"/>
      <c r="Y793" s="1191"/>
      <c r="Z793" s="1191"/>
      <c r="AA793" s="1191"/>
      <c r="AB793" s="1191"/>
      <c r="AC793" s="1018"/>
      <c r="AD793" s="1019"/>
      <c r="AE793" s="1019"/>
      <c r="AF793" s="1020"/>
      <c r="AG793" s="1018"/>
      <c r="AH793" s="1019"/>
      <c r="AI793" s="1019"/>
      <c r="AJ793" s="1020"/>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3:97" ht="13.35" customHeight="1">
      <c r="C794" s="1335" t="s">
        <v>1490</v>
      </c>
      <c r="D794" s="1189"/>
      <c r="E794" s="1189"/>
      <c r="F794" s="1189"/>
      <c r="G794" s="1189"/>
      <c r="H794" s="1189"/>
      <c r="I794" s="59"/>
      <c r="J794" s="59"/>
      <c r="K794" s="59"/>
      <c r="L794" s="60"/>
      <c r="M794" s="1450" t="s">
        <v>2531</v>
      </c>
      <c r="N794" s="1191"/>
      <c r="O794" s="1191"/>
      <c r="P794" s="1191"/>
      <c r="Q794" s="1191"/>
      <c r="R794" s="1191"/>
      <c r="S794" s="1191"/>
      <c r="T794" s="1191"/>
      <c r="U794" s="1191"/>
      <c r="V794" s="1191"/>
      <c r="W794" s="1191"/>
      <c r="X794" s="1191"/>
      <c r="Y794" s="1191"/>
      <c r="Z794" s="1191"/>
      <c r="AA794" s="1191"/>
      <c r="AB794" s="1191"/>
      <c r="AC794" s="1018"/>
      <c r="AD794" s="1019"/>
      <c r="AE794" s="1019"/>
      <c r="AF794" s="1020"/>
      <c r="AG794" s="1018"/>
      <c r="AH794" s="1019"/>
      <c r="AI794" s="1019"/>
      <c r="AJ794" s="1020"/>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3:97" ht="13.35" customHeight="1">
      <c r="C795" s="58" t="s">
        <v>1491</v>
      </c>
      <c r="D795" s="59"/>
      <c r="E795" s="59"/>
      <c r="F795" s="1097" t="s">
        <v>1317</v>
      </c>
      <c r="G795" s="1098"/>
      <c r="H795" s="1098"/>
      <c r="I795" s="1098"/>
      <c r="J795" s="1098"/>
      <c r="K795" s="1098"/>
      <c r="L795" s="1098"/>
      <c r="M795" s="1191"/>
      <c r="N795" s="1191"/>
      <c r="O795" s="1191"/>
      <c r="P795" s="1191"/>
      <c r="Q795" s="1191"/>
      <c r="R795" s="1191"/>
      <c r="S795" s="1191"/>
      <c r="T795" s="1191"/>
      <c r="U795" s="1191"/>
      <c r="V795" s="1191"/>
      <c r="W795" s="1191"/>
      <c r="X795" s="1191"/>
      <c r="Y795" s="1191"/>
      <c r="Z795" s="1191"/>
      <c r="AA795" s="1191"/>
      <c r="AB795" s="1191"/>
      <c r="AC795" s="1018"/>
      <c r="AD795" s="1019"/>
      <c r="AE795" s="1019"/>
      <c r="AF795" s="1020"/>
      <c r="AG795" s="1018"/>
      <c r="AH795" s="1019"/>
      <c r="AI795" s="1019"/>
      <c r="AJ795" s="1020"/>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3:97" ht="13.35" customHeight="1">
      <c r="C796" s="1049" t="s">
        <v>1454</v>
      </c>
      <c r="D796" s="1050"/>
      <c r="E796" s="1050"/>
      <c r="F796" s="1050"/>
      <c r="G796" s="1050"/>
      <c r="H796" s="1050"/>
      <c r="I796" s="1050"/>
      <c r="J796" s="1050"/>
      <c r="K796" s="1050"/>
      <c r="L796" s="1052"/>
      <c r="M796" s="1251">
        <f>SUM(M789:P795)</f>
        <v>30</v>
      </c>
      <c r="N796" s="1251"/>
      <c r="O796" s="1251"/>
      <c r="P796" s="1251"/>
      <c r="Q796" s="1251">
        <f>SUM(Q789:T795)</f>
        <v>36</v>
      </c>
      <c r="R796" s="1251"/>
      <c r="S796" s="1251"/>
      <c r="T796" s="1251"/>
      <c r="U796" s="1251">
        <f>SUM(U789:X795)</f>
        <v>44</v>
      </c>
      <c r="V796" s="1251"/>
      <c r="W796" s="1251"/>
      <c r="X796" s="1251"/>
      <c r="Y796" s="1251">
        <f>SUM(Y789:AB795)</f>
        <v>0</v>
      </c>
      <c r="Z796" s="1251"/>
      <c r="AA796" s="1251"/>
      <c r="AB796" s="1251"/>
      <c r="AC796" s="1251">
        <f>SUM(AC789:AF795)</f>
        <v>0</v>
      </c>
      <c r="AD796" s="1251"/>
      <c r="AE796" s="1251"/>
      <c r="AF796" s="1251"/>
      <c r="AG796" s="1251">
        <f>SUM(AG789:AJ795)</f>
        <v>0</v>
      </c>
      <c r="AH796" s="1251"/>
      <c r="AI796" s="1251"/>
      <c r="AJ796" s="1251"/>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3:97" ht="13.35" customHeight="1">
      <c r="C797" s="56" t="s">
        <v>1492</v>
      </c>
      <c r="D797" s="55"/>
      <c r="E797" s="55"/>
      <c r="F797" s="55"/>
      <c r="G797" s="55"/>
      <c r="H797" s="55"/>
      <c r="I797" s="55"/>
      <c r="J797" s="55"/>
      <c r="K797" s="55"/>
      <c r="L797" s="55"/>
      <c r="M797" s="159"/>
      <c r="N797" s="159"/>
      <c r="O797" s="159"/>
      <c r="P797" s="159"/>
      <c r="Q797" s="159"/>
      <c r="R797" s="159"/>
      <c r="S797" s="159"/>
      <c r="T797" s="159"/>
      <c r="U797" s="159"/>
      <c r="V797" s="159"/>
      <c r="W797" s="159"/>
      <c r="X797" s="159"/>
      <c r="Y797" s="159"/>
      <c r="Z797" s="159"/>
      <c r="AA797" s="159"/>
      <c r="AB797" s="159"/>
      <c r="AC797" s="159"/>
      <c r="AD797" s="159"/>
      <c r="AE797" s="159"/>
      <c r="AF797" s="159"/>
      <c r="AG797" s="159"/>
      <c r="AH797" s="159"/>
      <c r="AI797" s="159"/>
      <c r="AJ797" s="159"/>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3:97" ht="13.35" customHeight="1">
      <c r="C798" s="56" t="s">
        <v>1493</v>
      </c>
      <c r="D798" s="55"/>
      <c r="E798" s="55"/>
      <c r="F798" s="55"/>
      <c r="G798" s="55"/>
      <c r="H798" s="55"/>
      <c r="I798" s="55"/>
      <c r="J798" s="55"/>
      <c r="K798" s="55"/>
      <c r="L798" s="55"/>
      <c r="M798" s="159"/>
      <c r="N798" s="159"/>
      <c r="O798" s="159"/>
      <c r="P798" s="159"/>
      <c r="Q798" s="159"/>
      <c r="R798" s="159"/>
      <c r="S798" s="159"/>
      <c r="T798" s="159"/>
      <c r="U798" s="159"/>
      <c r="V798" s="159"/>
      <c r="W798" s="159"/>
      <c r="X798" s="159"/>
      <c r="Y798" s="159"/>
      <c r="Z798" s="159"/>
      <c r="AA798" s="159"/>
      <c r="AB798" s="159"/>
      <c r="AC798" s="159"/>
      <c r="AD798" s="159"/>
      <c r="AE798" s="159"/>
      <c r="AF798" s="159"/>
      <c r="AG798" s="159"/>
      <c r="AH798" s="159"/>
      <c r="AI798" s="159"/>
      <c r="AJ798" s="159"/>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3:97" ht="13.35" customHeight="1">
      <c r="C799" s="55"/>
      <c r="D799" s="55"/>
      <c r="E799" s="55"/>
      <c r="F799" s="55"/>
      <c r="G799" s="55"/>
      <c r="H799" s="55"/>
      <c r="I799" s="55"/>
      <c r="J799" s="55"/>
      <c r="K799" s="55"/>
      <c r="L799" s="55"/>
      <c r="M799" s="159"/>
      <c r="N799" s="159"/>
      <c r="O799" s="159"/>
      <c r="P799" s="159"/>
      <c r="Q799" s="159"/>
      <c r="R799" s="159"/>
      <c r="S799" s="159"/>
      <c r="T799" s="159"/>
      <c r="U799" s="159"/>
      <c r="V799" s="159"/>
      <c r="W799" s="159"/>
      <c r="X799" s="159"/>
      <c r="Y799" s="159"/>
      <c r="Z799" s="159"/>
      <c r="AA799" s="159"/>
      <c r="AB799" s="159"/>
      <c r="AC799" s="159"/>
      <c r="AD799" s="159"/>
      <c r="AE799" s="159"/>
      <c r="AF799" s="159"/>
      <c r="AG799" s="159"/>
      <c r="AH799" s="159"/>
      <c r="AI799" s="159"/>
      <c r="AJ799" s="159"/>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3:97" ht="13.35" customHeight="1">
      <c r="C800" s="3" t="s">
        <v>1494</v>
      </c>
      <c r="R800" s="12"/>
      <c r="S800" s="12"/>
      <c r="T800" s="12"/>
      <c r="U800" s="12"/>
      <c r="V800" s="12"/>
      <c r="W800" s="12"/>
      <c r="X800" s="12"/>
      <c r="Y800" s="12"/>
      <c r="Z800" s="12"/>
      <c r="AA800" s="12"/>
      <c r="AB800" s="12"/>
      <c r="AC800" s="12"/>
      <c r="AD800" s="12"/>
      <c r="AE800" s="12"/>
      <c r="AF800" s="12"/>
      <c r="AG800" s="12"/>
      <c r="AH800" s="12"/>
      <c r="AI800" s="12"/>
      <c r="AJ800" s="1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3.35" customHeight="1">
      <c r="C801" s="1458" t="s">
        <v>2530</v>
      </c>
      <c r="D801" s="1459"/>
      <c r="E801" s="1459"/>
      <c r="F801" s="1459"/>
      <c r="G801" s="1459"/>
      <c r="H801" s="1459"/>
      <c r="I801" s="1459"/>
      <c r="J801" s="1459"/>
      <c r="K801" s="1459"/>
      <c r="L801" s="1459"/>
      <c r="M801" s="1459"/>
      <c r="N801" s="1459"/>
      <c r="O801" s="1459"/>
      <c r="P801" s="1459"/>
      <c r="Q801" s="1459"/>
      <c r="R801" s="1459"/>
      <c r="S801" s="1459"/>
      <c r="T801" s="1459"/>
      <c r="U801" s="1459"/>
      <c r="V801" s="1459"/>
      <c r="W801" s="1459"/>
      <c r="X801" s="1459"/>
      <c r="Y801" s="1459"/>
      <c r="Z801" s="1459"/>
      <c r="AA801" s="1459"/>
      <c r="AB801" s="1459"/>
      <c r="AC801" s="1459"/>
      <c r="AD801" s="1459"/>
      <c r="AE801" s="1459"/>
      <c r="AF801" s="1459"/>
      <c r="AG801" s="1459"/>
      <c r="AH801" s="1459"/>
      <c r="AI801" s="1459"/>
      <c r="AJ801" s="1460"/>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3.35" customHeight="1">
      <c r="C802" s="37" t="s">
        <v>1495</v>
      </c>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3.35" customHeight="1">
      <c r="C803" s="3"/>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3.35" customHeight="1">
      <c r="A804" s="3" t="s">
        <v>1034</v>
      </c>
      <c r="C804" s="3" t="s">
        <v>1496</v>
      </c>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3.35" customHeight="1">
      <c r="AM805" s="37"/>
      <c r="AO805" s="21"/>
      <c r="AP805" s="21"/>
      <c r="AQ805" s="21"/>
      <c r="AR805" s="21"/>
      <c r="AS805" s="21"/>
      <c r="AT805" s="21"/>
      <c r="AU805" s="21"/>
      <c r="AV805" s="21"/>
      <c r="AW805" s="21" t="s">
        <v>1497</v>
      </c>
      <c r="AY805" s="21"/>
      <c r="AZ805" s="21"/>
      <c r="BA805" s="1136" t="s">
        <v>1498</v>
      </c>
      <c r="BB805" s="1137"/>
      <c r="BC805" s="37"/>
      <c r="BD805" s="37"/>
      <c r="BE805" s="37"/>
      <c r="BF805" s="21" t="s">
        <v>1499</v>
      </c>
      <c r="BG805" s="21"/>
      <c r="BH805" s="21"/>
      <c r="BI805" s="21"/>
      <c r="BJ805" s="21"/>
      <c r="BK805" s="21"/>
      <c r="BL805" s="21"/>
      <c r="BM805" s="21"/>
      <c r="BN805" s="21"/>
      <c r="BO805" s="1133" t="str">
        <f>T189</f>
        <v>Los Angeles</v>
      </c>
      <c r="BP805" s="1134"/>
      <c r="BQ805" s="1134"/>
      <c r="BR805" s="1134"/>
      <c r="BS805" s="1134"/>
      <c r="BT805" s="1134"/>
      <c r="BU805" s="1135"/>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3.35" customHeight="1">
      <c r="C806" s="3" t="s">
        <v>1500</v>
      </c>
      <c r="J806" s="8" t="s">
        <v>1501</v>
      </c>
      <c r="K806" s="9"/>
      <c r="L806" s="9"/>
      <c r="M806" s="9"/>
      <c r="N806" s="9"/>
      <c r="O806" s="9"/>
      <c r="P806" s="9"/>
      <c r="Q806" s="9"/>
      <c r="R806" s="9"/>
      <c r="S806" s="9"/>
      <c r="T806" s="9"/>
      <c r="U806" s="9"/>
      <c r="V806" s="45"/>
      <c r="W806" s="1150">
        <v>5000</v>
      </c>
      <c r="X806" s="1150"/>
      <c r="Y806" s="1150"/>
      <c r="Z806" s="1150"/>
      <c r="AA806" s="1150"/>
      <c r="AB806" s="1150"/>
      <c r="AC806" s="1150"/>
      <c r="AM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s="21" customFormat="1" ht="13.35" customHeight="1">
      <c r="A807"/>
      <c r="B807"/>
      <c r="C807"/>
      <c r="D807"/>
      <c r="E807"/>
      <c r="F807"/>
      <c r="G807"/>
      <c r="H807"/>
      <c r="I807"/>
      <c r="J807" s="8" t="s">
        <v>1502</v>
      </c>
      <c r="K807" s="9"/>
      <c r="L807" s="9"/>
      <c r="M807" s="9"/>
      <c r="N807" s="9"/>
      <c r="O807" s="9"/>
      <c r="P807" s="9"/>
      <c r="Q807" s="9"/>
      <c r="R807" s="9"/>
      <c r="S807" s="9"/>
      <c r="T807" s="9"/>
      <c r="U807" s="9"/>
      <c r="V807" s="45"/>
      <c r="W807" s="1150">
        <v>5200</v>
      </c>
      <c r="X807" s="1150"/>
      <c r="Y807" s="1150"/>
      <c r="Z807" s="1150"/>
      <c r="AA807" s="1150"/>
      <c r="AB807" s="1150"/>
      <c r="AC807" s="1150"/>
      <c r="AD807"/>
      <c r="AE807"/>
      <c r="AF807"/>
      <c r="AG807"/>
      <c r="AH807"/>
      <c r="AI807"/>
      <c r="AJ807"/>
      <c r="AK807"/>
      <c r="AL807"/>
      <c r="AM807" s="34"/>
      <c r="AN807" s="34"/>
      <c r="BA807" s="64" t="s">
        <v>1503</v>
      </c>
      <c r="BC807" s="36"/>
      <c r="BD807" s="36"/>
      <c r="BE807" s="36"/>
      <c r="BF807" s="36"/>
      <c r="BG807" s="36"/>
    </row>
    <row r="808" spans="1:97" s="21" customFormat="1" ht="13.35" customHeight="1">
      <c r="A808"/>
      <c r="B808"/>
      <c r="C808"/>
      <c r="D808"/>
      <c r="E808"/>
      <c r="F808"/>
      <c r="G808"/>
      <c r="H808"/>
      <c r="I808"/>
      <c r="J808" s="8" t="s">
        <v>1504</v>
      </c>
      <c r="K808" s="9"/>
      <c r="L808" s="9"/>
      <c r="M808" s="9"/>
      <c r="N808" s="9"/>
      <c r="O808" s="9"/>
      <c r="P808" s="9"/>
      <c r="Q808" s="9"/>
      <c r="R808" s="9"/>
      <c r="S808" s="9"/>
      <c r="T808" s="9"/>
      <c r="U808" s="9"/>
      <c r="V808" s="45"/>
      <c r="W808" s="1150">
        <v>7500</v>
      </c>
      <c r="X808" s="1150"/>
      <c r="Y808" s="1150"/>
      <c r="Z808" s="1150"/>
      <c r="AA808" s="1150"/>
      <c r="AB808" s="1150"/>
      <c r="AC808" s="1150"/>
      <c r="AD808"/>
      <c r="AE808"/>
      <c r="AF808"/>
      <c r="AG808"/>
      <c r="AH808"/>
      <c r="AI808"/>
      <c r="AJ808"/>
      <c r="AK808"/>
      <c r="AL808"/>
      <c r="AM808" s="34"/>
      <c r="AN808" s="34"/>
      <c r="BA808" s="64"/>
      <c r="BC808" s="36"/>
      <c r="BD808" s="36"/>
      <c r="BE808" s="36"/>
      <c r="BF808" s="36"/>
      <c r="BG808" s="36"/>
    </row>
    <row r="809" spans="1:97" s="21" customFormat="1" ht="13.35" customHeight="1">
      <c r="A809"/>
      <c r="B809"/>
      <c r="C809"/>
      <c r="D809"/>
      <c r="E809"/>
      <c r="F809"/>
      <c r="G809"/>
      <c r="H809"/>
      <c r="I809"/>
      <c r="J809" s="8" t="s">
        <v>1505</v>
      </c>
      <c r="K809" s="9"/>
      <c r="L809" s="9"/>
      <c r="M809" s="9"/>
      <c r="N809" s="9"/>
      <c r="O809" s="9"/>
      <c r="P809" s="9"/>
      <c r="Q809" s="9"/>
      <c r="R809" s="9"/>
      <c r="S809" s="9"/>
      <c r="T809" s="9"/>
      <c r="U809" s="9"/>
      <c r="V809" s="45"/>
      <c r="W809" s="1150">
        <v>0</v>
      </c>
      <c r="X809" s="1150"/>
      <c r="Y809" s="1150"/>
      <c r="Z809" s="1150"/>
      <c r="AA809" s="1150"/>
      <c r="AB809" s="1150"/>
      <c r="AC809" s="1150"/>
      <c r="AD809"/>
      <c r="AE809"/>
      <c r="AF809"/>
      <c r="AG809"/>
      <c r="AH809"/>
      <c r="AI809"/>
      <c r="AJ809"/>
      <c r="AK809"/>
      <c r="AL809"/>
      <c r="AM809" s="34"/>
      <c r="AN809" s="34"/>
      <c r="BA809" s="64" t="s">
        <v>1498</v>
      </c>
      <c r="BB809" s="35" t="s">
        <v>1506</v>
      </c>
      <c r="BC809" s="36"/>
      <c r="BD809" s="36"/>
      <c r="BE809" s="36"/>
      <c r="BF809" s="36"/>
      <c r="BG809" s="36"/>
      <c r="BI809" s="35" t="s">
        <v>1507</v>
      </c>
    </row>
    <row r="810" spans="1:97" s="21" customFormat="1" ht="13.35" customHeight="1">
      <c r="A810"/>
      <c r="B810"/>
      <c r="C810"/>
      <c r="D810"/>
      <c r="E810"/>
      <c r="F810"/>
      <c r="G810"/>
      <c r="H810"/>
      <c r="I810"/>
      <c r="J810" s="8" t="s">
        <v>1233</v>
      </c>
      <c r="K810" s="9"/>
      <c r="L810" s="9"/>
      <c r="M810" s="1097" t="s">
        <v>1508</v>
      </c>
      <c r="N810" s="1098"/>
      <c r="O810" s="1098"/>
      <c r="P810" s="1098"/>
      <c r="Q810" s="1098"/>
      <c r="R810" s="1098"/>
      <c r="S810" s="1098"/>
      <c r="T810" s="1098"/>
      <c r="U810" s="1098"/>
      <c r="V810" s="1099"/>
      <c r="W810" s="1150">
        <v>7500</v>
      </c>
      <c r="X810" s="1150"/>
      <c r="Y810" s="1150"/>
      <c r="Z810" s="1150"/>
      <c r="AA810" s="1150"/>
      <c r="AB810" s="1150"/>
      <c r="AC810" s="1150"/>
      <c r="AD810"/>
      <c r="AE810"/>
      <c r="AF810"/>
      <c r="AG810"/>
      <c r="AH810"/>
      <c r="AI810"/>
      <c r="AJ810"/>
      <c r="AK810"/>
      <c r="AL810"/>
      <c r="AM810" s="34"/>
      <c r="AN810" s="34"/>
      <c r="BA810" s="64"/>
      <c r="BB810" s="35"/>
      <c r="BC810" s="36"/>
      <c r="BD810" s="36"/>
      <c r="BE810" s="36"/>
      <c r="BF810" s="36"/>
      <c r="BG810" s="36"/>
      <c r="BI810" s="35"/>
    </row>
    <row r="811" spans="1:97" s="21" customFormat="1" ht="13.35" customHeight="1">
      <c r="A811"/>
      <c r="B811"/>
      <c r="C811"/>
      <c r="D811"/>
      <c r="E811"/>
      <c r="F811"/>
      <c r="G811"/>
      <c r="H811"/>
      <c r="I811"/>
      <c r="J811" s="8"/>
      <c r="K811" s="9"/>
      <c r="L811" s="9"/>
      <c r="M811" s="9"/>
      <c r="N811" s="9"/>
      <c r="O811" s="9"/>
      <c r="P811" s="9"/>
      <c r="Q811" s="9"/>
      <c r="R811" s="9"/>
      <c r="S811" s="9"/>
      <c r="T811" s="9"/>
      <c r="U811" s="9"/>
      <c r="V811" s="53" t="s">
        <v>1509</v>
      </c>
      <c r="W811" s="1106">
        <f>SUM(W806:AC810)</f>
        <v>25200</v>
      </c>
      <c r="X811" s="1107"/>
      <c r="Y811" s="1107"/>
      <c r="Z811" s="1107"/>
      <c r="AA811" s="1107"/>
      <c r="AB811" s="1107"/>
      <c r="AC811" s="1108"/>
      <c r="AD811"/>
      <c r="AE811"/>
      <c r="AF811"/>
      <c r="AG811"/>
      <c r="AH811"/>
      <c r="AI811"/>
      <c r="AJ811"/>
      <c r="AK811"/>
      <c r="AL811"/>
      <c r="AM811" s="34"/>
      <c r="AN811" s="34"/>
      <c r="BA811" s="64" t="s">
        <v>1503</v>
      </c>
      <c r="BB811" s="35"/>
      <c r="BC811" s="36"/>
      <c r="BD811" s="36"/>
      <c r="BE811" s="36"/>
      <c r="BF811" s="36"/>
      <c r="BG811" s="36"/>
      <c r="BI811" s="35"/>
    </row>
    <row r="812" spans="1:97" s="21" customFormat="1" ht="13.3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4"/>
      <c r="AN812" s="34"/>
      <c r="BA812" s="64"/>
      <c r="BB812" s="35"/>
      <c r="BC812" s="36"/>
      <c r="BD812" s="36"/>
      <c r="BE812" s="36"/>
      <c r="BF812" s="36"/>
      <c r="BG812" s="36"/>
      <c r="BI812" s="35"/>
    </row>
    <row r="813" spans="1:97" s="21" customFormat="1" ht="13.35" customHeight="1">
      <c r="A813"/>
      <c r="B813"/>
      <c r="C813" s="3" t="s">
        <v>1510</v>
      </c>
      <c r="D813"/>
      <c r="E813"/>
      <c r="F813"/>
      <c r="G813"/>
      <c r="H813"/>
      <c r="I813"/>
      <c r="J813" s="1049" t="s">
        <v>1511</v>
      </c>
      <c r="K813" s="1050"/>
      <c r="L813" s="1050"/>
      <c r="M813" s="1050"/>
      <c r="N813" s="1050"/>
      <c r="O813" s="1050"/>
      <c r="P813" s="1050"/>
      <c r="Q813" s="1050"/>
      <c r="R813" s="1050"/>
      <c r="S813" s="1050"/>
      <c r="T813" s="1050"/>
      <c r="U813" s="1050"/>
      <c r="V813" s="1052"/>
      <c r="W813" s="1100">
        <v>23000</v>
      </c>
      <c r="X813" s="1101"/>
      <c r="Y813" s="1101"/>
      <c r="Z813" s="1101"/>
      <c r="AA813" s="1101"/>
      <c r="AB813" s="1101"/>
      <c r="AC813" s="1102"/>
      <c r="AD813"/>
      <c r="AE813"/>
      <c r="AF813"/>
      <c r="AG813"/>
      <c r="AH813"/>
      <c r="AI813"/>
      <c r="AJ813"/>
      <c r="AK813"/>
      <c r="AL813"/>
      <c r="AM813" s="34"/>
      <c r="AN813" s="34"/>
      <c r="BA813" s="64"/>
      <c r="BB813" s="35"/>
      <c r="BC813" s="36"/>
      <c r="BD813" s="36"/>
      <c r="BE813" s="36"/>
      <c r="BF813" s="36"/>
      <c r="BG813" s="36"/>
      <c r="BI813" s="35"/>
    </row>
    <row r="814" spans="1:97" s="21" customFormat="1" ht="13.3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64"/>
      <c r="BB814" s="35"/>
      <c r="BC814" s="36"/>
      <c r="BD814" s="36"/>
      <c r="BE814" s="36"/>
      <c r="BF814" s="36"/>
      <c r="BG814" s="36"/>
      <c r="BI814" s="35"/>
    </row>
    <row r="815" spans="1:97" s="21" customFormat="1" ht="13.35" customHeight="1">
      <c r="A815"/>
      <c r="B815"/>
      <c r="C815" s="3" t="s">
        <v>225</v>
      </c>
      <c r="D815"/>
      <c r="E815"/>
      <c r="F815"/>
      <c r="G815"/>
      <c r="H815"/>
      <c r="I815"/>
      <c r="J815" s="8" t="s">
        <v>1512</v>
      </c>
      <c r="K815" s="9"/>
      <c r="L815" s="9"/>
      <c r="M815" s="9"/>
      <c r="N815" s="9"/>
      <c r="O815" s="9"/>
      <c r="P815" s="9"/>
      <c r="Q815" s="9"/>
      <c r="R815" s="9"/>
      <c r="S815" s="9"/>
      <c r="T815" s="9"/>
      <c r="U815" s="9"/>
      <c r="V815" s="45"/>
      <c r="W815" s="1170"/>
      <c r="X815" s="1170"/>
      <c r="Y815" s="1170"/>
      <c r="Z815" s="1170"/>
      <c r="AA815" s="1170"/>
      <c r="AB815" s="1170"/>
      <c r="AC815" s="1170"/>
      <c r="AD815"/>
      <c r="AE815"/>
      <c r="AF815"/>
      <c r="AG815"/>
      <c r="AH815"/>
      <c r="AI815"/>
      <c r="AJ815"/>
      <c r="AK815"/>
      <c r="AL815"/>
      <c r="BC815" s="36"/>
      <c r="BD815" s="36"/>
      <c r="BE815" s="36"/>
      <c r="BF815" s="36"/>
      <c r="BG815" s="36"/>
    </row>
    <row r="816" spans="1:97" s="21" customFormat="1" ht="13.35" customHeight="1">
      <c r="A816"/>
      <c r="B816"/>
      <c r="C816"/>
      <c r="D816"/>
      <c r="E816"/>
      <c r="F816"/>
      <c r="G816"/>
      <c r="H816"/>
      <c r="I816"/>
      <c r="J816" s="8" t="s">
        <v>1513</v>
      </c>
      <c r="K816" s="9"/>
      <c r="L816" s="9"/>
      <c r="M816" s="9"/>
      <c r="N816" s="9"/>
      <c r="O816" s="9"/>
      <c r="P816" s="9"/>
      <c r="Q816" s="9"/>
      <c r="R816" s="9"/>
      <c r="S816" s="9"/>
      <c r="T816" s="9"/>
      <c r="U816" s="9"/>
      <c r="V816" s="45"/>
      <c r="W816" s="1170">
        <v>0</v>
      </c>
      <c r="X816" s="1170"/>
      <c r="Y816" s="1170"/>
      <c r="Z816" s="1170"/>
      <c r="AA816" s="1170"/>
      <c r="AB816" s="1170"/>
      <c r="AC816" s="1170"/>
      <c r="AD816"/>
      <c r="AE816"/>
      <c r="AF816"/>
      <c r="AG816"/>
      <c r="AH816"/>
      <c r="AI816"/>
      <c r="AJ816"/>
      <c r="AK816"/>
      <c r="AL816"/>
      <c r="BC816" s="36"/>
      <c r="BD816" s="36"/>
      <c r="BE816" s="36"/>
      <c r="BF816" s="36"/>
      <c r="BG816" s="36"/>
    </row>
    <row r="817" spans="1:97" s="21" customFormat="1" ht="13.35" customHeight="1">
      <c r="A817"/>
      <c r="B817"/>
      <c r="C817"/>
      <c r="D817"/>
      <c r="E817"/>
      <c r="F817"/>
      <c r="G817"/>
      <c r="H817"/>
      <c r="I817"/>
      <c r="J817" s="8" t="s">
        <v>1489</v>
      </c>
      <c r="K817" s="9"/>
      <c r="L817" s="9"/>
      <c r="M817" s="9"/>
      <c r="N817" s="9"/>
      <c r="O817" s="9"/>
      <c r="P817" s="9"/>
      <c r="Q817" s="9"/>
      <c r="R817" s="9"/>
      <c r="S817" s="9"/>
      <c r="T817" s="9"/>
      <c r="U817" s="9"/>
      <c r="V817" s="45"/>
      <c r="W817" s="1170">
        <v>48000</v>
      </c>
      <c r="X817" s="1170"/>
      <c r="Y817" s="1170"/>
      <c r="Z817" s="1170"/>
      <c r="AA817" s="1170"/>
      <c r="AB817" s="1170"/>
      <c r="AC817" s="1170"/>
      <c r="AD817"/>
      <c r="AE817"/>
      <c r="AF817"/>
      <c r="AG817"/>
      <c r="AH817"/>
      <c r="AI817"/>
      <c r="AJ817"/>
      <c r="AK817"/>
      <c r="AL817"/>
      <c r="BC817" s="890" t="s">
        <v>1399</v>
      </c>
      <c r="BD817" s="891" t="s">
        <v>1400</v>
      </c>
      <c r="BE817" s="891" t="s">
        <v>1401</v>
      </c>
      <c r="BF817" s="891" t="s">
        <v>1402</v>
      </c>
      <c r="BG817" s="891" t="s">
        <v>1403</v>
      </c>
      <c r="BJ817" s="890" t="s">
        <v>1399</v>
      </c>
      <c r="BK817" s="891" t="s">
        <v>1400</v>
      </c>
      <c r="BL817" s="891" t="s">
        <v>1401</v>
      </c>
      <c r="BM817" s="891" t="s">
        <v>1402</v>
      </c>
      <c r="BN817" s="891" t="s">
        <v>1403</v>
      </c>
    </row>
    <row r="818" spans="1:97" s="21" customFormat="1" ht="13.35" customHeight="1">
      <c r="A818"/>
      <c r="B818"/>
      <c r="C818"/>
      <c r="D818"/>
      <c r="E818"/>
      <c r="F818"/>
      <c r="G818"/>
      <c r="H818"/>
      <c r="I818"/>
      <c r="J818" s="892" t="s">
        <v>1514</v>
      </c>
      <c r="K818" s="9"/>
      <c r="L818" s="9"/>
      <c r="M818" s="9"/>
      <c r="N818" s="9"/>
      <c r="O818" s="9"/>
      <c r="P818" s="9"/>
      <c r="Q818" s="9"/>
      <c r="R818" s="9"/>
      <c r="S818" s="9"/>
      <c r="T818" s="9"/>
      <c r="U818" s="9"/>
      <c r="V818" s="45"/>
      <c r="W818" s="1170">
        <v>55000</v>
      </c>
      <c r="X818" s="1170"/>
      <c r="Y818" s="1170"/>
      <c r="Z818" s="1170"/>
      <c r="AA818" s="1170"/>
      <c r="AB818" s="1170"/>
      <c r="AC818" s="1170"/>
      <c r="AD818"/>
      <c r="AE818"/>
      <c r="AF818"/>
      <c r="AG818"/>
      <c r="AH818"/>
      <c r="AI818"/>
      <c r="AJ818"/>
      <c r="AK818"/>
      <c r="AL818"/>
      <c r="BC818" s="893"/>
      <c r="BD818" s="894"/>
      <c r="BE818" s="894"/>
      <c r="BF818" s="894"/>
      <c r="BG818" s="894"/>
      <c r="BJ818" s="893"/>
      <c r="BK818" s="894"/>
      <c r="BL818" s="894"/>
      <c r="BM818" s="894"/>
      <c r="BN818" s="894"/>
    </row>
    <row r="819" spans="1:97" s="5" customFormat="1" ht="13.35" customHeight="1">
      <c r="A819"/>
      <c r="B819"/>
      <c r="C819"/>
      <c r="D819"/>
      <c r="E819"/>
      <c r="F819"/>
      <c r="G819"/>
      <c r="H819"/>
      <c r="I819"/>
      <c r="J819" s="61"/>
      <c r="K819" s="47"/>
      <c r="L819" s="47"/>
      <c r="M819" s="47"/>
      <c r="N819" s="47"/>
      <c r="O819" s="47"/>
      <c r="P819" s="47"/>
      <c r="Q819" s="47"/>
      <c r="R819" s="47"/>
      <c r="S819" s="47"/>
      <c r="T819" s="47"/>
      <c r="U819" s="47"/>
      <c r="V819" s="53" t="s">
        <v>1515</v>
      </c>
      <c r="W819" s="1169">
        <f>SUM(W815:AC818)</f>
        <v>103000</v>
      </c>
      <c r="X819" s="1169"/>
      <c r="Y819" s="1169"/>
      <c r="Z819" s="1169"/>
      <c r="AA819" s="1169"/>
      <c r="AB819" s="1169"/>
      <c r="AC819" s="1169"/>
      <c r="AD819"/>
      <c r="AE819"/>
      <c r="AF819"/>
      <c r="AG819"/>
      <c r="AH819"/>
      <c r="AI819"/>
      <c r="AJ819"/>
      <c r="AK819"/>
      <c r="AL819"/>
      <c r="AM819" s="37"/>
      <c r="AN819" s="37"/>
      <c r="AO819" s="37"/>
      <c r="AP819" s="37"/>
      <c r="AQ819" s="37"/>
      <c r="AR819" s="21"/>
      <c r="AS819" s="21"/>
      <c r="AT819" s="21"/>
      <c r="AU819" s="21"/>
      <c r="AV819" s="21"/>
      <c r="AW819" s="21"/>
      <c r="AX819" s="21"/>
      <c r="AY819" s="21"/>
      <c r="AZ819" s="21"/>
      <c r="BA819" s="21"/>
      <c r="BB819" s="228" t="s">
        <v>806</v>
      </c>
      <c r="BC819" s="468">
        <v>473390</v>
      </c>
      <c r="BD819" s="468">
        <v>545814</v>
      </c>
      <c r="BE819" s="468">
        <v>658400</v>
      </c>
      <c r="BF819" s="468">
        <v>842752</v>
      </c>
      <c r="BG819" s="468">
        <v>938878</v>
      </c>
      <c r="BH819" s="21"/>
      <c r="BI819" s="228" t="s">
        <v>806</v>
      </c>
      <c r="BJ819" s="468">
        <v>473390</v>
      </c>
      <c r="BK819" s="468">
        <v>545814</v>
      </c>
      <c r="BL819" s="468">
        <v>658400</v>
      </c>
      <c r="BM819" s="468">
        <v>842752</v>
      </c>
      <c r="BN819" s="468">
        <v>938878</v>
      </c>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s="5" customFormat="1" ht="13.3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s="37"/>
      <c r="AO820" s="37"/>
      <c r="AP820" s="37"/>
      <c r="AQ820" s="37"/>
      <c r="AR820" s="21"/>
      <c r="AS820" s="21"/>
      <c r="AT820" s="21"/>
      <c r="AU820" s="21"/>
      <c r="AV820" s="21"/>
      <c r="AW820" s="21"/>
      <c r="AX820" s="21"/>
      <c r="AY820" s="21"/>
      <c r="AZ820" s="21"/>
      <c r="BA820" s="21"/>
      <c r="BB820" s="228" t="s">
        <v>810</v>
      </c>
      <c r="BC820" s="467">
        <v>352022</v>
      </c>
      <c r="BD820" s="467">
        <v>405878</v>
      </c>
      <c r="BE820" s="467">
        <v>489600</v>
      </c>
      <c r="BF820" s="467">
        <v>626688</v>
      </c>
      <c r="BG820" s="467">
        <v>698170</v>
      </c>
      <c r="BH820" s="21"/>
      <c r="BI820" s="228" t="s">
        <v>810</v>
      </c>
      <c r="BJ820" s="467">
        <v>352022</v>
      </c>
      <c r="BK820" s="467">
        <v>405878</v>
      </c>
      <c r="BL820" s="467">
        <v>489600</v>
      </c>
      <c r="BM820" s="467">
        <v>626688</v>
      </c>
      <c r="BN820" s="467">
        <v>698170</v>
      </c>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5" customFormat="1" ht="13.35" customHeight="1">
      <c r="A821"/>
      <c r="B821"/>
      <c r="C821" s="3" t="s">
        <v>1516</v>
      </c>
      <c r="D821"/>
      <c r="E821"/>
      <c r="F821"/>
      <c r="G821"/>
      <c r="H821"/>
      <c r="I821"/>
      <c r="J821" s="8" t="s">
        <v>1517</v>
      </c>
      <c r="K821" s="9"/>
      <c r="L821" s="9"/>
      <c r="M821" s="9"/>
      <c r="N821" s="9"/>
      <c r="O821" s="9"/>
      <c r="P821" s="9"/>
      <c r="Q821" s="9"/>
      <c r="R821" s="9"/>
      <c r="S821" s="9"/>
      <c r="T821" s="9"/>
      <c r="U821" s="9"/>
      <c r="V821" s="45"/>
      <c r="W821" s="1453">
        <v>62000</v>
      </c>
      <c r="X821" s="1454"/>
      <c r="Y821" s="1454"/>
      <c r="Z821" s="1454"/>
      <c r="AA821" s="1454"/>
      <c r="AB821" s="1454"/>
      <c r="AC821" s="1455"/>
      <c r="AD821"/>
      <c r="AE821"/>
      <c r="AF821"/>
      <c r="AG821"/>
      <c r="AH821"/>
      <c r="AI821"/>
      <c r="AJ821"/>
      <c r="AK821"/>
      <c r="AL821"/>
      <c r="AM821" s="37"/>
      <c r="AN821" s="37"/>
      <c r="AO821" s="37"/>
      <c r="AP821" s="37"/>
      <c r="AQ821" s="37"/>
      <c r="AR821" s="21"/>
      <c r="AS821" s="21"/>
      <c r="AT821" s="21"/>
      <c r="AU821" s="21"/>
      <c r="AV821" s="21"/>
      <c r="AW821" s="21"/>
      <c r="AX821" s="21"/>
      <c r="AY821" s="21"/>
      <c r="AZ821" s="21"/>
      <c r="BA821" s="21"/>
      <c r="BB821" s="228" t="s">
        <v>814</v>
      </c>
      <c r="BC821" s="468">
        <v>352022</v>
      </c>
      <c r="BD821" s="468">
        <v>405878</v>
      </c>
      <c r="BE821" s="468">
        <v>489600</v>
      </c>
      <c r="BF821" s="468">
        <v>626688</v>
      </c>
      <c r="BG821" s="468">
        <v>698170</v>
      </c>
      <c r="BH821" s="21"/>
      <c r="BI821" s="228" t="s">
        <v>814</v>
      </c>
      <c r="BJ821" s="468">
        <v>352022</v>
      </c>
      <c r="BK821" s="468">
        <v>405878</v>
      </c>
      <c r="BL821" s="468">
        <v>489600</v>
      </c>
      <c r="BM821" s="468">
        <v>626688</v>
      </c>
      <c r="BN821" s="468">
        <v>698170</v>
      </c>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row>
    <row r="822" spans="1:97" s="5" customFormat="1" ht="13.35" customHeight="1">
      <c r="A822"/>
      <c r="B822"/>
      <c r="C822" s="3"/>
      <c r="D822"/>
      <c r="E822"/>
      <c r="F822"/>
      <c r="G822"/>
      <c r="H822"/>
      <c r="I822"/>
      <c r="J822" s="180" t="s">
        <v>1518</v>
      </c>
      <c r="K822" s="9"/>
      <c r="L822" s="9"/>
      <c r="M822" s="9"/>
      <c r="N822" s="9"/>
      <c r="O822" s="9"/>
      <c r="P822" s="9"/>
      <c r="Q822" s="9"/>
      <c r="R822" s="9"/>
      <c r="S822" s="9"/>
      <c r="T822" s="1216">
        <v>2</v>
      </c>
      <c r="U822" s="1217"/>
      <c r="V822" s="1218"/>
      <c r="W822" s="717"/>
      <c r="X822" s="718"/>
      <c r="Y822" s="718"/>
      <c r="Z822" s="718"/>
      <c r="AA822" s="718"/>
      <c r="AB822" s="718"/>
      <c r="AC822" s="719"/>
      <c r="AD822"/>
      <c r="AE822"/>
      <c r="AF822"/>
      <c r="AG822"/>
      <c r="AH822"/>
      <c r="AI822"/>
      <c r="AJ822"/>
      <c r="AK822"/>
      <c r="AL822"/>
      <c r="AM822" s="37"/>
      <c r="AN822" s="37"/>
      <c r="AO822" s="37"/>
      <c r="AP822" s="37"/>
      <c r="AQ822" s="37"/>
      <c r="AR822" s="21"/>
      <c r="AS822" s="21"/>
      <c r="AT822" s="21"/>
      <c r="AU822" s="21"/>
      <c r="AV822" s="21"/>
      <c r="AW822" s="21"/>
      <c r="AX822" s="21"/>
      <c r="AY822" s="21"/>
      <c r="AZ822" s="21"/>
      <c r="BA822" s="21"/>
      <c r="BB822" s="228" t="s">
        <v>818</v>
      </c>
      <c r="BC822" s="467">
        <v>319236</v>
      </c>
      <c r="BD822" s="467">
        <v>368076</v>
      </c>
      <c r="BE822" s="467">
        <v>444000</v>
      </c>
      <c r="BF822" s="467">
        <v>568320</v>
      </c>
      <c r="BG822" s="467">
        <v>633144</v>
      </c>
      <c r="BH822" s="21"/>
      <c r="BI822" s="228" t="s">
        <v>818</v>
      </c>
      <c r="BJ822" s="467">
        <v>319236</v>
      </c>
      <c r="BK822" s="467">
        <v>368076</v>
      </c>
      <c r="BL822" s="467">
        <v>444000</v>
      </c>
      <c r="BM822" s="467">
        <v>568320</v>
      </c>
      <c r="BN822" s="467">
        <v>633144</v>
      </c>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row>
    <row r="823" spans="1:97" s="5" customFormat="1" ht="13.35" customHeight="1">
      <c r="A823"/>
      <c r="B823"/>
      <c r="C823" s="3" t="s">
        <v>1519</v>
      </c>
      <c r="D823"/>
      <c r="E823"/>
      <c r="F823"/>
      <c r="G823"/>
      <c r="H823"/>
      <c r="I823"/>
      <c r="J823" s="8" t="s">
        <v>1520</v>
      </c>
      <c r="K823" s="9"/>
      <c r="L823" s="9"/>
      <c r="M823" s="9"/>
      <c r="N823" s="9"/>
      <c r="O823" s="9"/>
      <c r="P823" s="9"/>
      <c r="Q823" s="9"/>
      <c r="R823" s="9"/>
      <c r="S823" s="9"/>
      <c r="T823" s="9"/>
      <c r="U823" s="9"/>
      <c r="V823" s="45"/>
      <c r="W823" s="1453">
        <v>0</v>
      </c>
      <c r="X823" s="1454"/>
      <c r="Y823" s="1454"/>
      <c r="Z823" s="1454"/>
      <c r="AA823" s="1454"/>
      <c r="AB823" s="1454"/>
      <c r="AC823" s="1455"/>
      <c r="AD823"/>
      <c r="AE823"/>
      <c r="AF823"/>
      <c r="AG823"/>
      <c r="AH823"/>
      <c r="AI823"/>
      <c r="AJ823"/>
      <c r="AK823"/>
      <c r="AL823" s="23"/>
      <c r="AM823" s="37"/>
      <c r="AN823" s="37"/>
      <c r="AO823" s="37"/>
      <c r="AP823" s="37"/>
      <c r="AQ823" s="37"/>
      <c r="AR823" s="21"/>
      <c r="AS823" s="21"/>
      <c r="AT823" s="21"/>
      <c r="AU823" s="21"/>
      <c r="AV823" s="21"/>
      <c r="AW823" s="21"/>
      <c r="AX823" s="21"/>
      <c r="AY823" s="21"/>
      <c r="AZ823" s="21"/>
      <c r="BA823" s="21"/>
      <c r="BB823" s="228" t="s">
        <v>821</v>
      </c>
      <c r="BC823" s="468">
        <v>352022</v>
      </c>
      <c r="BD823" s="468">
        <v>405878</v>
      </c>
      <c r="BE823" s="468">
        <v>489600</v>
      </c>
      <c r="BF823" s="468">
        <v>626688</v>
      </c>
      <c r="BG823" s="468">
        <v>698170</v>
      </c>
      <c r="BH823" s="21"/>
      <c r="BI823" s="228" t="s">
        <v>821</v>
      </c>
      <c r="BJ823" s="468">
        <v>352022</v>
      </c>
      <c r="BK823" s="468">
        <v>405878</v>
      </c>
      <c r="BL823" s="468">
        <v>489600</v>
      </c>
      <c r="BM823" s="468">
        <v>626688</v>
      </c>
      <c r="BN823" s="468">
        <v>698170</v>
      </c>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row>
    <row r="824" spans="1:97" s="5" customFormat="1" ht="13.35" customHeight="1">
      <c r="A824"/>
      <c r="B824"/>
      <c r="C824" s="3"/>
      <c r="D824"/>
      <c r="E824"/>
      <c r="F824"/>
      <c r="G824"/>
      <c r="H824"/>
      <c r="I824"/>
      <c r="J824" s="180" t="s">
        <v>1521</v>
      </c>
      <c r="K824" s="9"/>
      <c r="L824" s="9"/>
      <c r="M824" s="9"/>
      <c r="N824" s="9"/>
      <c r="O824" s="9"/>
      <c r="P824" s="9"/>
      <c r="Q824" s="9"/>
      <c r="R824" s="9"/>
      <c r="S824" s="9"/>
      <c r="T824" s="1216">
        <v>1</v>
      </c>
      <c r="U824" s="1217"/>
      <c r="V824" s="1218"/>
      <c r="W824" s="717"/>
      <c r="X824" s="718"/>
      <c r="Y824" s="718"/>
      <c r="Z824" s="718"/>
      <c r="AA824" s="718"/>
      <c r="AB824" s="718"/>
      <c r="AC824" s="719"/>
      <c r="AD824"/>
      <c r="AE824"/>
      <c r="AF824"/>
      <c r="AG824"/>
      <c r="AH824"/>
      <c r="AI824"/>
      <c r="AJ824"/>
      <c r="AK824"/>
      <c r="AL824" s="23"/>
      <c r="AM824" s="37"/>
      <c r="AN824" s="37"/>
      <c r="AO824" s="37"/>
      <c r="AP824" s="37"/>
      <c r="AQ824" s="37"/>
      <c r="AR824" s="21"/>
      <c r="AS824" s="21"/>
      <c r="AT824" s="21"/>
      <c r="AU824" s="21"/>
      <c r="AV824" s="21"/>
      <c r="AW824" s="21"/>
      <c r="AX824" s="21"/>
      <c r="AY824" s="21"/>
      <c r="AZ824" s="21"/>
      <c r="BA824" s="21"/>
      <c r="BB824" s="228" t="s">
        <v>827</v>
      </c>
      <c r="BC824" s="467">
        <v>352022</v>
      </c>
      <c r="BD824" s="467">
        <v>405878</v>
      </c>
      <c r="BE824" s="467">
        <v>489600</v>
      </c>
      <c r="BF824" s="467">
        <v>626688</v>
      </c>
      <c r="BG824" s="467">
        <v>698170</v>
      </c>
      <c r="BH824" s="21"/>
      <c r="BI824" s="228" t="s">
        <v>827</v>
      </c>
      <c r="BJ824" s="467">
        <v>352022</v>
      </c>
      <c r="BK824" s="467">
        <v>405878</v>
      </c>
      <c r="BL824" s="467">
        <v>489600</v>
      </c>
      <c r="BM824" s="467">
        <v>626688</v>
      </c>
      <c r="BN824" s="467">
        <v>698170</v>
      </c>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row>
    <row r="825" spans="1:97" s="5" customFormat="1" ht="13.35" customHeight="1">
      <c r="A825"/>
      <c r="B825"/>
      <c r="C825"/>
      <c r="D825"/>
      <c r="E825"/>
      <c r="F825"/>
      <c r="G825"/>
      <c r="H825"/>
      <c r="I825"/>
      <c r="J825" s="8" t="s">
        <v>1233</v>
      </c>
      <c r="K825" s="9"/>
      <c r="L825" s="9"/>
      <c r="M825" s="1097" t="s">
        <v>1519</v>
      </c>
      <c r="N825" s="1098"/>
      <c r="O825" s="1098"/>
      <c r="P825" s="1098"/>
      <c r="Q825" s="1098"/>
      <c r="R825" s="1098"/>
      <c r="S825" s="1098"/>
      <c r="T825" s="1098"/>
      <c r="U825" s="1098"/>
      <c r="V825" s="1099"/>
      <c r="W825" s="1453">
        <v>16000</v>
      </c>
      <c r="X825" s="1454"/>
      <c r="Y825" s="1454"/>
      <c r="Z825" s="1454"/>
      <c r="AA825" s="1454"/>
      <c r="AB825" s="1454"/>
      <c r="AC825" s="1455"/>
      <c r="AD825"/>
      <c r="AE825"/>
      <c r="AF825"/>
      <c r="AG825"/>
      <c r="AH825"/>
      <c r="AI825"/>
      <c r="AJ825"/>
      <c r="AK825"/>
      <c r="AL825" s="23"/>
      <c r="AM825" s="37"/>
      <c r="AN825" s="37"/>
      <c r="AO825" s="37"/>
      <c r="AP825" s="37"/>
      <c r="AQ825" s="37"/>
      <c r="AR825" s="21"/>
      <c r="AS825" s="21"/>
      <c r="AT825" s="21"/>
      <c r="AU825" s="21"/>
      <c r="AV825" s="21"/>
      <c r="AW825" s="21"/>
      <c r="AX825" s="21"/>
      <c r="AY825" s="21"/>
      <c r="AZ825" s="21"/>
      <c r="BA825" s="21"/>
      <c r="BB825" s="228" t="s">
        <v>831</v>
      </c>
      <c r="BC825" s="468">
        <v>473390</v>
      </c>
      <c r="BD825" s="468">
        <v>545814</v>
      </c>
      <c r="BE825" s="468">
        <v>658400</v>
      </c>
      <c r="BF825" s="468">
        <v>842752</v>
      </c>
      <c r="BG825" s="468">
        <v>938878</v>
      </c>
      <c r="BH825" s="21"/>
      <c r="BI825" s="228" t="s">
        <v>831</v>
      </c>
      <c r="BJ825" s="468">
        <v>473390</v>
      </c>
      <c r="BK825" s="468">
        <v>545814</v>
      </c>
      <c r="BL825" s="468">
        <v>658400</v>
      </c>
      <c r="BM825" s="468">
        <v>842752</v>
      </c>
      <c r="BN825" s="468">
        <v>938878</v>
      </c>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row>
    <row r="826" spans="1:97" s="5" customFormat="1" ht="13.35" customHeight="1">
      <c r="A826"/>
      <c r="B826"/>
      <c r="C826"/>
      <c r="D826"/>
      <c r="E826"/>
      <c r="F826"/>
      <c r="G826"/>
      <c r="H826"/>
      <c r="I826"/>
      <c r="J826" s="8"/>
      <c r="K826" s="9"/>
      <c r="L826" s="9"/>
      <c r="M826" s="9"/>
      <c r="N826" s="9"/>
      <c r="O826" s="9"/>
      <c r="P826" s="9"/>
      <c r="Q826" s="9"/>
      <c r="R826" s="9"/>
      <c r="S826" s="9"/>
      <c r="T826" s="9"/>
      <c r="U826" s="9"/>
      <c r="V826" s="53" t="s">
        <v>1522</v>
      </c>
      <c r="W826" s="1164">
        <f>SUM(W821:AC825)</f>
        <v>78000</v>
      </c>
      <c r="X826" s="1165"/>
      <c r="Y826" s="1165"/>
      <c r="Z826" s="1165"/>
      <c r="AA826" s="1165"/>
      <c r="AB826" s="1165"/>
      <c r="AC826" s="1166"/>
      <c r="AD826"/>
      <c r="AE826"/>
      <c r="AF826"/>
      <c r="AG826"/>
      <c r="AH826"/>
      <c r="AI826"/>
      <c r="AJ826"/>
      <c r="AK826"/>
      <c r="AL826" s="23"/>
      <c r="AM826" s="34"/>
      <c r="AN826" s="34"/>
      <c r="AO826" s="21"/>
      <c r="AP826" s="21"/>
      <c r="AQ826" s="21"/>
      <c r="AR826" s="21"/>
      <c r="AS826" s="21"/>
      <c r="AT826" s="21"/>
      <c r="AU826" s="21"/>
      <c r="AV826" s="21"/>
      <c r="AW826" s="21"/>
      <c r="AX826" s="21"/>
      <c r="AY826" s="21"/>
      <c r="AZ826" s="21"/>
      <c r="BA826" s="21"/>
      <c r="BB826" s="228" t="s">
        <v>835</v>
      </c>
      <c r="BC826" s="467">
        <v>352022</v>
      </c>
      <c r="BD826" s="467">
        <v>405878</v>
      </c>
      <c r="BE826" s="467">
        <v>489600</v>
      </c>
      <c r="BF826" s="467">
        <v>626688</v>
      </c>
      <c r="BG826" s="467">
        <v>698170</v>
      </c>
      <c r="BH826" s="21"/>
      <c r="BI826" s="228" t="s">
        <v>835</v>
      </c>
      <c r="BJ826" s="467">
        <v>352022</v>
      </c>
      <c r="BK826" s="467">
        <v>405878</v>
      </c>
      <c r="BL826" s="467">
        <v>489600</v>
      </c>
      <c r="BM826" s="467">
        <v>626688</v>
      </c>
      <c r="BN826" s="467">
        <v>698170</v>
      </c>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row>
    <row r="827" spans="1:97" s="5" customFormat="1" ht="13.35" customHeight="1">
      <c r="A827"/>
      <c r="B827"/>
      <c r="C827"/>
      <c r="D827"/>
      <c r="E827"/>
      <c r="F827"/>
      <c r="G827"/>
      <c r="H827"/>
      <c r="I827"/>
      <c r="J827" s="8"/>
      <c r="K827" s="9"/>
      <c r="L827" s="9"/>
      <c r="M827" s="9"/>
      <c r="N827" s="9"/>
      <c r="O827" s="9"/>
      <c r="P827" s="9"/>
      <c r="Q827" s="9"/>
      <c r="R827" s="9"/>
      <c r="S827" s="9"/>
      <c r="T827" s="9"/>
      <c r="U827" s="9"/>
      <c r="V827" s="53" t="s">
        <v>1523</v>
      </c>
      <c r="W827" s="1453">
        <v>24000</v>
      </c>
      <c r="X827" s="1454"/>
      <c r="Y827" s="1454"/>
      <c r="Z827" s="1454"/>
      <c r="AA827" s="1454"/>
      <c r="AB827" s="1454"/>
      <c r="AC827" s="1455"/>
      <c r="AD827"/>
      <c r="AE827"/>
      <c r="AF827"/>
      <c r="AG827"/>
      <c r="AH827"/>
      <c r="AI827"/>
      <c r="AJ827"/>
      <c r="AK827"/>
      <c r="AL827" s="23"/>
      <c r="AM827" s="34"/>
      <c r="AN827" s="34"/>
      <c r="AO827" s="21"/>
      <c r="AP827" s="21"/>
      <c r="AQ827" s="21"/>
      <c r="AR827" s="21"/>
      <c r="AS827" s="21"/>
      <c r="AT827" s="21"/>
      <c r="AU827" s="21"/>
      <c r="AV827" s="21"/>
      <c r="AW827" s="21"/>
      <c r="AX827" s="21"/>
      <c r="AY827" s="21"/>
      <c r="AZ827" s="21"/>
      <c r="BA827" s="21"/>
      <c r="BB827" s="228" t="s">
        <v>837</v>
      </c>
      <c r="BC827" s="468">
        <v>331890</v>
      </c>
      <c r="BD827" s="468">
        <v>382666</v>
      </c>
      <c r="BE827" s="468">
        <v>461600</v>
      </c>
      <c r="BF827" s="468">
        <v>590848</v>
      </c>
      <c r="BG827" s="468">
        <v>658242</v>
      </c>
      <c r="BH827" s="21"/>
      <c r="BI827" s="228" t="s">
        <v>837</v>
      </c>
      <c r="BJ827" s="468">
        <v>331890</v>
      </c>
      <c r="BK827" s="468">
        <v>382666</v>
      </c>
      <c r="BL827" s="468">
        <v>461600</v>
      </c>
      <c r="BM827" s="468">
        <v>590848</v>
      </c>
      <c r="BN827" s="468">
        <v>658242</v>
      </c>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row>
    <row r="828" spans="1:97" s="5" customFormat="1" ht="13.3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228" t="s">
        <v>840</v>
      </c>
      <c r="BC828" s="467">
        <v>307732</v>
      </c>
      <c r="BD828" s="467">
        <v>354812</v>
      </c>
      <c r="BE828" s="467">
        <v>428000</v>
      </c>
      <c r="BF828" s="467">
        <v>547840</v>
      </c>
      <c r="BG828" s="467">
        <v>610328</v>
      </c>
      <c r="BH828" s="21"/>
      <c r="BI828" s="228" t="s">
        <v>840</v>
      </c>
      <c r="BJ828" s="467">
        <v>307732</v>
      </c>
      <c r="BK828" s="467">
        <v>354812</v>
      </c>
      <c r="BL828" s="467">
        <v>428000</v>
      </c>
      <c r="BM828" s="467">
        <v>547840</v>
      </c>
      <c r="BN828" s="467">
        <v>610328</v>
      </c>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row>
    <row r="829" spans="1:97" s="5" customFormat="1" ht="13.35" customHeight="1">
      <c r="A829"/>
      <c r="B829"/>
      <c r="C829" s="3" t="s">
        <v>227</v>
      </c>
      <c r="D829"/>
      <c r="E829"/>
      <c r="F829"/>
      <c r="G829"/>
      <c r="H829"/>
      <c r="I829"/>
      <c r="J829" s="8" t="s">
        <v>1524</v>
      </c>
      <c r="K829" s="9"/>
      <c r="L829" s="9"/>
      <c r="M829" s="9"/>
      <c r="N829" s="9"/>
      <c r="O829" s="9"/>
      <c r="P829" s="9"/>
      <c r="Q829" s="9"/>
      <c r="R829" s="9"/>
      <c r="S829" s="9"/>
      <c r="T829" s="9"/>
      <c r="U829" s="9"/>
      <c r="V829" s="45"/>
      <c r="W829" s="1150">
        <v>9500</v>
      </c>
      <c r="X829" s="1150"/>
      <c r="Y829" s="1150"/>
      <c r="Z829" s="1150"/>
      <c r="AA829" s="1150"/>
      <c r="AB829" s="1150"/>
      <c r="AC829" s="1150"/>
      <c r="AD829"/>
      <c r="AE829"/>
      <c r="AF829"/>
      <c r="AG829"/>
      <c r="AH829"/>
      <c r="AI829"/>
      <c r="AJ829"/>
      <c r="AK829"/>
      <c r="AL829"/>
      <c r="AM829" s="34"/>
      <c r="AN829" s="34"/>
      <c r="AO829" s="21"/>
      <c r="AP829" s="21"/>
      <c r="AQ829" s="21"/>
      <c r="AR829" s="21"/>
      <c r="AS829" s="21"/>
      <c r="AT829" s="21"/>
      <c r="AU829" s="21"/>
      <c r="AV829" s="21"/>
      <c r="AW829" s="21"/>
      <c r="AX829" s="21"/>
      <c r="AY829" s="21"/>
      <c r="AZ829" s="21"/>
      <c r="BA829" s="21"/>
      <c r="BB829" s="228" t="s">
        <v>843</v>
      </c>
      <c r="BC829" s="468">
        <v>352022</v>
      </c>
      <c r="BD829" s="468">
        <v>405878</v>
      </c>
      <c r="BE829" s="468">
        <v>489600</v>
      </c>
      <c r="BF829" s="468">
        <v>626688</v>
      </c>
      <c r="BG829" s="468">
        <v>698170</v>
      </c>
      <c r="BH829" s="21"/>
      <c r="BI829" s="228" t="s">
        <v>843</v>
      </c>
      <c r="BJ829" s="468">
        <v>352022</v>
      </c>
      <c r="BK829" s="468">
        <v>405878</v>
      </c>
      <c r="BL829" s="468">
        <v>489600</v>
      </c>
      <c r="BM829" s="468">
        <v>626688</v>
      </c>
      <c r="BN829" s="468">
        <v>698170</v>
      </c>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row>
    <row r="830" spans="1:97" s="5" customFormat="1" ht="13.35" customHeight="1">
      <c r="A830"/>
      <c r="B830"/>
      <c r="C830"/>
      <c r="D830"/>
      <c r="E830"/>
      <c r="F830"/>
      <c r="G830"/>
      <c r="H830"/>
      <c r="I830"/>
      <c r="J830" s="8" t="s">
        <v>1525</v>
      </c>
      <c r="K830" s="9"/>
      <c r="L830" s="9"/>
      <c r="M830" s="9"/>
      <c r="N830" s="9"/>
      <c r="O830" s="9"/>
      <c r="P830" s="9"/>
      <c r="Q830" s="9"/>
      <c r="R830" s="9"/>
      <c r="S830" s="9"/>
      <c r="T830" s="9"/>
      <c r="U830" s="9"/>
      <c r="V830" s="45"/>
      <c r="W830" s="1150">
        <v>8500</v>
      </c>
      <c r="X830" s="1150"/>
      <c r="Y830" s="1150"/>
      <c r="Z830" s="1150"/>
      <c r="AA830" s="1150"/>
      <c r="AB830" s="1150"/>
      <c r="AC830" s="1150"/>
      <c r="AD830"/>
      <c r="AE830"/>
      <c r="AF830"/>
      <c r="AG830"/>
      <c r="AH830"/>
      <c r="AI830"/>
      <c r="AJ830"/>
      <c r="AK830"/>
      <c r="AL830"/>
      <c r="AM830" s="34"/>
      <c r="AN830" s="34"/>
      <c r="AO830" s="21"/>
      <c r="AP830" s="21"/>
      <c r="AQ830" s="21"/>
      <c r="AR830" s="21"/>
      <c r="AS830" s="21"/>
      <c r="AT830" s="21"/>
      <c r="AU830" s="21"/>
      <c r="AV830" s="21"/>
      <c r="AW830" s="21"/>
      <c r="AX830" s="21"/>
      <c r="AY830" s="21"/>
      <c r="AZ830" s="21"/>
      <c r="BA830" s="21"/>
      <c r="BB830" s="228" t="s">
        <v>845</v>
      </c>
      <c r="BC830" s="467">
        <v>352022</v>
      </c>
      <c r="BD830" s="467">
        <v>405878</v>
      </c>
      <c r="BE830" s="467">
        <v>489600</v>
      </c>
      <c r="BF830" s="467">
        <v>626688</v>
      </c>
      <c r="BG830" s="467">
        <v>698170</v>
      </c>
      <c r="BH830" s="21"/>
      <c r="BI830" s="228" t="s">
        <v>845</v>
      </c>
      <c r="BJ830" s="467">
        <v>352022</v>
      </c>
      <c r="BK830" s="467">
        <v>405878</v>
      </c>
      <c r="BL830" s="467">
        <v>489600</v>
      </c>
      <c r="BM830" s="467">
        <v>626688</v>
      </c>
      <c r="BN830" s="467">
        <v>698170</v>
      </c>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row>
    <row r="831" spans="1:97" s="5" customFormat="1" ht="13.35" customHeight="1">
      <c r="A831"/>
      <c r="B831"/>
      <c r="C831"/>
      <c r="D831"/>
      <c r="E831"/>
      <c r="F831"/>
      <c r="G831"/>
      <c r="H831"/>
      <c r="I831"/>
      <c r="J831" s="8" t="s">
        <v>1526</v>
      </c>
      <c r="K831" s="9"/>
      <c r="L831" s="9"/>
      <c r="M831" s="9"/>
      <c r="N831" s="9"/>
      <c r="O831" s="9"/>
      <c r="P831" s="9"/>
      <c r="Q831" s="9"/>
      <c r="R831" s="9"/>
      <c r="S831" s="9"/>
      <c r="T831" s="9"/>
      <c r="U831" s="9"/>
      <c r="V831" s="45"/>
      <c r="W831" s="1150">
        <v>12000</v>
      </c>
      <c r="X831" s="1150"/>
      <c r="Y831" s="1150"/>
      <c r="Z831" s="1150"/>
      <c r="AA831" s="1150"/>
      <c r="AB831" s="1150"/>
      <c r="AC831" s="1150"/>
      <c r="AD831"/>
      <c r="AE831"/>
      <c r="AF831"/>
      <c r="AG831"/>
      <c r="AH831"/>
      <c r="AI831"/>
      <c r="AJ831"/>
      <c r="AK831"/>
      <c r="AL831"/>
      <c r="AM831" s="34"/>
      <c r="AN831" s="34"/>
      <c r="AO831" s="21"/>
      <c r="AP831" s="21"/>
      <c r="AQ831" s="21"/>
      <c r="AR831" s="21"/>
      <c r="AS831" s="21"/>
      <c r="AT831" s="21"/>
      <c r="AU831" s="21"/>
      <c r="AV831" s="21"/>
      <c r="AW831" s="21"/>
      <c r="AX831" s="21"/>
      <c r="AY831" s="21"/>
      <c r="AZ831" s="21"/>
      <c r="BA831" s="21"/>
      <c r="BB831" s="228" t="s">
        <v>848</v>
      </c>
      <c r="BC831" s="468">
        <v>314634</v>
      </c>
      <c r="BD831" s="468">
        <v>362770</v>
      </c>
      <c r="BE831" s="468">
        <v>437600</v>
      </c>
      <c r="BF831" s="468">
        <v>560128</v>
      </c>
      <c r="BG831" s="468">
        <v>624018</v>
      </c>
      <c r="BH831" s="21"/>
      <c r="BI831" s="228" t="s">
        <v>848</v>
      </c>
      <c r="BJ831" s="468">
        <v>314634</v>
      </c>
      <c r="BK831" s="468">
        <v>362770</v>
      </c>
      <c r="BL831" s="468">
        <v>437600</v>
      </c>
      <c r="BM831" s="468">
        <v>560128</v>
      </c>
      <c r="BN831" s="468">
        <v>624018</v>
      </c>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row>
    <row r="832" spans="1:97" s="5" customFormat="1" ht="13.35" customHeight="1">
      <c r="A832"/>
      <c r="B832"/>
      <c r="C832"/>
      <c r="D832"/>
      <c r="E832"/>
      <c r="F832"/>
      <c r="G832"/>
      <c r="H832"/>
      <c r="I832"/>
      <c r="J832" s="8" t="s">
        <v>1527</v>
      </c>
      <c r="K832" s="9"/>
      <c r="L832" s="9"/>
      <c r="M832" s="9"/>
      <c r="N832" s="9"/>
      <c r="O832" s="9"/>
      <c r="P832" s="9"/>
      <c r="Q832" s="9"/>
      <c r="R832" s="9"/>
      <c r="S832" s="9"/>
      <c r="T832" s="9"/>
      <c r="U832" s="9"/>
      <c r="V832" s="45"/>
      <c r="W832" s="1150">
        <v>15000</v>
      </c>
      <c r="X832" s="1150"/>
      <c r="Y832" s="1150"/>
      <c r="Z832" s="1150"/>
      <c r="AA832" s="1150"/>
      <c r="AB832" s="1150"/>
      <c r="AC832" s="1150"/>
      <c r="AD832"/>
      <c r="AE832"/>
      <c r="AF832"/>
      <c r="AG832"/>
      <c r="AH832"/>
      <c r="AI832"/>
      <c r="AJ832"/>
      <c r="AK832"/>
      <c r="AL832"/>
      <c r="AM832" s="34"/>
      <c r="AN832" s="34"/>
      <c r="AO832" s="21"/>
      <c r="AP832" s="21"/>
      <c r="AQ832" s="21"/>
      <c r="AR832" s="21"/>
      <c r="AS832" s="21"/>
      <c r="AT832" s="21"/>
      <c r="AU832" s="21"/>
      <c r="AV832" s="21"/>
      <c r="AW832" s="21"/>
      <c r="AX832" s="21"/>
      <c r="AY832" s="21"/>
      <c r="AZ832" s="21"/>
      <c r="BA832" s="21"/>
      <c r="BB832" s="228" t="s">
        <v>850</v>
      </c>
      <c r="BC832" s="467">
        <v>352022</v>
      </c>
      <c r="BD832" s="467">
        <v>405878</v>
      </c>
      <c r="BE832" s="467">
        <v>489600</v>
      </c>
      <c r="BF832" s="467">
        <v>626688</v>
      </c>
      <c r="BG832" s="467">
        <v>698170</v>
      </c>
      <c r="BH832" s="21"/>
      <c r="BI832" s="228" t="s">
        <v>850</v>
      </c>
      <c r="BJ832" s="467">
        <v>352022</v>
      </c>
      <c r="BK832" s="467">
        <v>405878</v>
      </c>
      <c r="BL832" s="467">
        <v>489600</v>
      </c>
      <c r="BM832" s="467">
        <v>626688</v>
      </c>
      <c r="BN832" s="467">
        <v>698170</v>
      </c>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row>
    <row r="833" spans="1:97" s="5" customFormat="1" ht="13.35" customHeight="1">
      <c r="A833"/>
      <c r="B833"/>
      <c r="C833"/>
      <c r="D833"/>
      <c r="E833"/>
      <c r="F833"/>
      <c r="G833"/>
      <c r="H833"/>
      <c r="I833"/>
      <c r="J833" s="8" t="s">
        <v>1528</v>
      </c>
      <c r="K833" s="9"/>
      <c r="L833" s="9"/>
      <c r="M833" s="9"/>
      <c r="N833" s="9"/>
      <c r="O833" s="9"/>
      <c r="P833" s="9"/>
      <c r="Q833" s="9"/>
      <c r="R833" s="9"/>
      <c r="S833" s="9"/>
      <c r="T833" s="9"/>
      <c r="U833" s="9"/>
      <c r="V833" s="45"/>
      <c r="W833" s="1150">
        <v>12000</v>
      </c>
      <c r="X833" s="1150"/>
      <c r="Y833" s="1150"/>
      <c r="Z833" s="1150"/>
      <c r="AA833" s="1150"/>
      <c r="AB833" s="1150"/>
      <c r="AC833" s="1150"/>
      <c r="AD833"/>
      <c r="AE833"/>
      <c r="AF833"/>
      <c r="AG833"/>
      <c r="AH833"/>
      <c r="AI833"/>
      <c r="AJ833"/>
      <c r="AK833"/>
      <c r="AL833"/>
      <c r="AM833" s="34"/>
      <c r="AN833" s="34"/>
      <c r="AO833" s="21"/>
      <c r="AP833" s="21"/>
      <c r="AQ833" s="21"/>
      <c r="AR833" s="21"/>
      <c r="AS833" s="21"/>
      <c r="AT833" s="21"/>
      <c r="AU833" s="21"/>
      <c r="AV833" s="21"/>
      <c r="AW833" s="21"/>
      <c r="AX833" s="21"/>
      <c r="AY833" s="21"/>
      <c r="AZ833" s="21"/>
      <c r="BA833" s="21"/>
      <c r="BB833" s="228" t="s">
        <v>852</v>
      </c>
      <c r="BC833" s="468">
        <v>307732</v>
      </c>
      <c r="BD833" s="468">
        <v>354812</v>
      </c>
      <c r="BE833" s="468">
        <v>428000</v>
      </c>
      <c r="BF833" s="468">
        <v>547840</v>
      </c>
      <c r="BG833" s="468">
        <v>610328</v>
      </c>
      <c r="BH833" s="21"/>
      <c r="BI833" s="228" t="s">
        <v>852</v>
      </c>
      <c r="BJ833" s="468">
        <v>307732</v>
      </c>
      <c r="BK833" s="468">
        <v>354812</v>
      </c>
      <c r="BL833" s="468">
        <v>428000</v>
      </c>
      <c r="BM833" s="468">
        <v>547840</v>
      </c>
      <c r="BN833" s="468">
        <v>610328</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ht="13.35" customHeight="1">
      <c r="J834" s="8" t="s">
        <v>1529</v>
      </c>
      <c r="K834" s="9"/>
      <c r="L834" s="9"/>
      <c r="M834" s="9"/>
      <c r="N834" s="9"/>
      <c r="O834" s="9"/>
      <c r="P834" s="9"/>
      <c r="Q834" s="9"/>
      <c r="R834" s="9"/>
      <c r="S834" s="9"/>
      <c r="T834" s="9"/>
      <c r="U834" s="9"/>
      <c r="V834" s="45"/>
      <c r="W834" s="1150">
        <v>10000</v>
      </c>
      <c r="X834" s="1150"/>
      <c r="Y834" s="1150"/>
      <c r="Z834" s="1150"/>
      <c r="AA834" s="1150"/>
      <c r="AB834" s="1150"/>
      <c r="AC834" s="1150"/>
      <c r="AM834" s="37"/>
      <c r="AN834" s="37"/>
      <c r="AO834" s="37"/>
      <c r="AP834" s="37"/>
      <c r="AQ834" s="37"/>
      <c r="AR834" s="37"/>
      <c r="AS834" s="37"/>
      <c r="AT834" s="37"/>
      <c r="AU834" s="37"/>
      <c r="AV834" s="37"/>
      <c r="AW834" s="37"/>
      <c r="AX834" s="37"/>
      <c r="AY834" s="37"/>
      <c r="AZ834" s="37"/>
      <c r="BA834" s="37"/>
      <c r="BB834" s="228" t="s">
        <v>855</v>
      </c>
      <c r="BC834" s="467">
        <v>307732</v>
      </c>
      <c r="BD834" s="467">
        <v>354812</v>
      </c>
      <c r="BE834" s="467">
        <v>428000</v>
      </c>
      <c r="BF834" s="467">
        <v>547840</v>
      </c>
      <c r="BG834" s="467">
        <v>610328</v>
      </c>
      <c r="BH834" s="21"/>
      <c r="BI834" s="228" t="s">
        <v>855</v>
      </c>
      <c r="BJ834" s="467">
        <v>307732</v>
      </c>
      <c r="BK834" s="467">
        <v>354812</v>
      </c>
      <c r="BL834" s="467">
        <v>428000</v>
      </c>
      <c r="BM834" s="467">
        <v>547840</v>
      </c>
      <c r="BN834" s="467">
        <v>610328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ht="13.35" customHeight="1">
      <c r="J835" s="8" t="s">
        <v>1233</v>
      </c>
      <c r="K835" s="9"/>
      <c r="L835" s="9"/>
      <c r="M835" s="1097" t="s">
        <v>2532</v>
      </c>
      <c r="N835" s="1098"/>
      <c r="O835" s="1098"/>
      <c r="P835" s="1098"/>
      <c r="Q835" s="1098"/>
      <c r="R835" s="1098"/>
      <c r="S835" s="1098"/>
      <c r="T835" s="1098"/>
      <c r="U835" s="1098"/>
      <c r="V835" s="1099"/>
      <c r="W835" s="1150">
        <v>25000</v>
      </c>
      <c r="X835" s="1150"/>
      <c r="Y835" s="1150"/>
      <c r="Z835" s="1150"/>
      <c r="AA835" s="1150"/>
      <c r="AB835" s="1150"/>
      <c r="AC835" s="1150"/>
      <c r="AM835" s="37"/>
      <c r="AN835" s="37"/>
      <c r="AO835" s="37"/>
      <c r="AP835" s="37"/>
      <c r="AQ835" s="37"/>
      <c r="AR835" s="37"/>
      <c r="AS835" s="37"/>
      <c r="AT835" s="37"/>
      <c r="AU835" s="37"/>
      <c r="AV835" s="37"/>
      <c r="AW835" s="37"/>
      <c r="AX835" s="37"/>
      <c r="AY835" s="37"/>
      <c r="AZ835" s="37"/>
      <c r="BA835" s="37"/>
      <c r="BB835" s="228" t="s">
        <v>859</v>
      </c>
      <c r="BC835" s="468">
        <v>352022</v>
      </c>
      <c r="BD835" s="468">
        <v>405878</v>
      </c>
      <c r="BE835" s="468">
        <v>489600</v>
      </c>
      <c r="BF835" s="468">
        <v>626688</v>
      </c>
      <c r="BG835" s="468">
        <v>698170</v>
      </c>
      <c r="BH835" s="21"/>
      <c r="BI835" s="228" t="s">
        <v>859</v>
      </c>
      <c r="BJ835" s="468">
        <v>352022</v>
      </c>
      <c r="BK835" s="468">
        <v>405878</v>
      </c>
      <c r="BL835" s="468">
        <v>489600</v>
      </c>
      <c r="BM835" s="468">
        <v>626688</v>
      </c>
      <c r="BN835" s="468">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ht="13.35" customHeight="1">
      <c r="J836" s="8"/>
      <c r="K836" s="9"/>
      <c r="L836" s="9"/>
      <c r="M836" s="9"/>
      <c r="N836" s="9"/>
      <c r="O836" s="9"/>
      <c r="P836" s="9"/>
      <c r="Q836" s="9"/>
      <c r="R836" s="9"/>
      <c r="S836" s="9"/>
      <c r="T836" s="9"/>
      <c r="U836" s="9"/>
      <c r="V836" s="53" t="s">
        <v>1530</v>
      </c>
      <c r="W836" s="1112">
        <f>SUM(W829:AC835)</f>
        <v>92000</v>
      </c>
      <c r="X836" s="1112"/>
      <c r="Y836" s="1112"/>
      <c r="Z836" s="1112"/>
      <c r="AA836" s="1112"/>
      <c r="AB836" s="1112"/>
      <c r="AC836" s="1112"/>
      <c r="AM836" s="37"/>
      <c r="AN836" s="37"/>
      <c r="AO836" s="37"/>
      <c r="AP836" s="37"/>
      <c r="AQ836" s="37"/>
      <c r="AR836" s="37"/>
      <c r="AS836" s="37"/>
      <c r="AT836" s="37"/>
      <c r="AU836" s="37"/>
      <c r="AV836" s="37"/>
      <c r="AW836" s="37"/>
      <c r="AX836" s="37"/>
      <c r="AY836" s="37"/>
      <c r="AZ836" s="37"/>
      <c r="BA836" s="37"/>
      <c r="BB836" s="228" t="s">
        <v>862</v>
      </c>
      <c r="BC836" s="467">
        <v>352022</v>
      </c>
      <c r="BD836" s="467">
        <v>405878</v>
      </c>
      <c r="BE836" s="467">
        <v>489600</v>
      </c>
      <c r="BF836" s="467">
        <v>626688</v>
      </c>
      <c r="BG836" s="467">
        <v>698170</v>
      </c>
      <c r="BH836" s="21"/>
      <c r="BI836" s="228" t="s">
        <v>862</v>
      </c>
      <c r="BJ836" s="467">
        <v>352022</v>
      </c>
      <c r="BK836" s="467">
        <v>405878</v>
      </c>
      <c r="BL836" s="467">
        <v>489600</v>
      </c>
      <c r="BM836" s="467">
        <v>626688</v>
      </c>
      <c r="BN836" s="467">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ht="13.35" customHeight="1">
      <c r="AM837" s="37"/>
      <c r="AN837" s="37"/>
      <c r="AO837" s="37"/>
      <c r="AP837" s="37"/>
      <c r="AQ837" s="37"/>
      <c r="AR837" s="37"/>
      <c r="AS837" s="37"/>
      <c r="AT837" s="37"/>
      <c r="AU837" s="37"/>
      <c r="AV837" s="37"/>
      <c r="AW837" s="37"/>
      <c r="AX837" s="37"/>
      <c r="AY837" s="37"/>
      <c r="AZ837" s="37"/>
      <c r="BA837" s="37"/>
      <c r="BB837" s="228" t="s">
        <v>868</v>
      </c>
      <c r="BC837" s="468">
        <v>437727</v>
      </c>
      <c r="BD837" s="468">
        <v>504695</v>
      </c>
      <c r="BE837" s="468">
        <v>608800</v>
      </c>
      <c r="BF837" s="468">
        <v>779264</v>
      </c>
      <c r="BG837" s="468">
        <v>868149</v>
      </c>
      <c r="BH837" s="21"/>
      <c r="BI837" s="228" t="s">
        <v>868</v>
      </c>
      <c r="BJ837" s="468">
        <v>437727</v>
      </c>
      <c r="BK837" s="468">
        <v>504695</v>
      </c>
      <c r="BL837" s="468">
        <v>608800</v>
      </c>
      <c r="BM837" s="468">
        <v>779264</v>
      </c>
      <c r="BN837" s="468">
        <v>868149</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ht="13.35" customHeight="1">
      <c r="C838" s="3" t="s">
        <v>1531</v>
      </c>
      <c r="J838" s="8" t="s">
        <v>1233</v>
      </c>
      <c r="K838" s="9"/>
      <c r="L838" s="9"/>
      <c r="M838" s="1097" t="s">
        <v>1317</v>
      </c>
      <c r="N838" s="1098"/>
      <c r="O838" s="1098"/>
      <c r="P838" s="1098"/>
      <c r="Q838" s="1098"/>
      <c r="R838" s="1098"/>
      <c r="S838" s="1098"/>
      <c r="T838" s="1098"/>
      <c r="U838" s="1098"/>
      <c r="V838" s="1099"/>
      <c r="W838" s="1100"/>
      <c r="X838" s="1101"/>
      <c r="Y838" s="1101"/>
      <c r="Z838" s="1101"/>
      <c r="AA838" s="1101"/>
      <c r="AB838" s="1101"/>
      <c r="AC838" s="1102"/>
      <c r="AM838" s="37"/>
      <c r="AN838" s="37"/>
      <c r="AO838" s="37"/>
      <c r="AP838" s="37"/>
      <c r="AQ838" s="37"/>
      <c r="AR838" s="37"/>
      <c r="AS838" s="37"/>
      <c r="AT838" s="37"/>
      <c r="AU838" s="37"/>
      <c r="AV838" s="37"/>
      <c r="AW838" s="37"/>
      <c r="AX838" s="37"/>
      <c r="AY838" s="37"/>
      <c r="AZ838" s="37"/>
      <c r="BA838" s="37"/>
      <c r="BB838" s="228" t="s">
        <v>871</v>
      </c>
      <c r="BC838" s="467">
        <v>307732</v>
      </c>
      <c r="BD838" s="467">
        <v>354812</v>
      </c>
      <c r="BE838" s="467">
        <v>428000</v>
      </c>
      <c r="BF838" s="467">
        <v>547840</v>
      </c>
      <c r="BG838" s="467">
        <v>610328</v>
      </c>
      <c r="BH838" s="21"/>
      <c r="BI838" s="228" t="s">
        <v>871</v>
      </c>
      <c r="BJ838" s="467">
        <v>307732</v>
      </c>
      <c r="BK838" s="467">
        <v>354812</v>
      </c>
      <c r="BL838" s="467">
        <v>428000</v>
      </c>
      <c r="BM838" s="467">
        <v>547840</v>
      </c>
      <c r="BN838" s="467">
        <v>610328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ht="13.35" customHeight="1">
      <c r="C839" s="3" t="s">
        <v>1532</v>
      </c>
      <c r="J839" s="8" t="s">
        <v>1233</v>
      </c>
      <c r="K839" s="9"/>
      <c r="L839" s="9"/>
      <c r="M839" s="1097" t="s">
        <v>1317</v>
      </c>
      <c r="N839" s="1098"/>
      <c r="O839" s="1098"/>
      <c r="P839" s="1098"/>
      <c r="Q839" s="1098"/>
      <c r="R839" s="1098"/>
      <c r="S839" s="1098"/>
      <c r="T839" s="1098"/>
      <c r="U839" s="1098"/>
      <c r="V839" s="1099"/>
      <c r="W839" s="1100"/>
      <c r="X839" s="1101"/>
      <c r="Y839" s="1101"/>
      <c r="Z839" s="1101"/>
      <c r="AA839" s="1101"/>
      <c r="AB839" s="1101"/>
      <c r="AC839" s="1102"/>
      <c r="AM839" s="37"/>
      <c r="AN839" s="37"/>
      <c r="AO839" s="37"/>
      <c r="AP839" s="37"/>
      <c r="AQ839" s="37"/>
      <c r="AR839" s="37"/>
      <c r="AS839" s="37"/>
      <c r="AT839" s="37"/>
      <c r="AU839" s="37"/>
      <c r="AV839" s="37"/>
      <c r="AW839" s="37"/>
      <c r="AX839" s="37"/>
      <c r="AY839" s="37"/>
      <c r="AZ839" s="37"/>
      <c r="BA839" s="37"/>
      <c r="BB839" s="228" t="s">
        <v>874</v>
      </c>
      <c r="BC839" s="468">
        <v>384234</v>
      </c>
      <c r="BD839" s="468">
        <v>443018</v>
      </c>
      <c r="BE839" s="468">
        <v>534400</v>
      </c>
      <c r="BF839" s="468">
        <v>684032</v>
      </c>
      <c r="BG839" s="468">
        <v>762054</v>
      </c>
      <c r="BH839" s="21"/>
      <c r="BI839" s="228" t="s">
        <v>874</v>
      </c>
      <c r="BJ839" s="468">
        <v>384234</v>
      </c>
      <c r="BK839" s="468">
        <v>443018</v>
      </c>
      <c r="BL839" s="468">
        <v>534400</v>
      </c>
      <c r="BM839" s="468">
        <v>684032</v>
      </c>
      <c r="BN839" s="468">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3.35" customHeight="1">
      <c r="A840"/>
      <c r="B840"/>
      <c r="C840"/>
      <c r="D840"/>
      <c r="E840"/>
      <c r="F840"/>
      <c r="G840"/>
      <c r="H840"/>
      <c r="I840"/>
      <c r="J840" s="8" t="s">
        <v>1233</v>
      </c>
      <c r="K840" s="9"/>
      <c r="L840" s="9"/>
      <c r="M840" s="1097" t="s">
        <v>1317</v>
      </c>
      <c r="N840" s="1098"/>
      <c r="O840" s="1098"/>
      <c r="P840" s="1098"/>
      <c r="Q840" s="1098"/>
      <c r="R840" s="1098"/>
      <c r="S840" s="1098"/>
      <c r="T840" s="1098"/>
      <c r="U840" s="1098"/>
      <c r="V840" s="1099"/>
      <c r="W840" s="1100"/>
      <c r="X840" s="1101"/>
      <c r="Y840" s="1101"/>
      <c r="Z840" s="1101"/>
      <c r="AA840" s="1101"/>
      <c r="AB840" s="1101"/>
      <c r="AC840" s="1102"/>
      <c r="AD840"/>
      <c r="AE840"/>
      <c r="AF840"/>
      <c r="AG840"/>
      <c r="AH840"/>
      <c r="AI840"/>
      <c r="AJ840"/>
      <c r="AK840"/>
      <c r="AL840"/>
      <c r="AM840" s="34"/>
      <c r="AN840" s="34"/>
      <c r="AO840" s="21"/>
      <c r="AP840" s="21"/>
      <c r="AQ840" s="21"/>
      <c r="AR840" s="21"/>
      <c r="AS840" s="21"/>
      <c r="AT840" s="21"/>
      <c r="AU840" s="21"/>
      <c r="AV840" s="21"/>
      <c r="AW840" s="21"/>
      <c r="AX840" s="21"/>
      <c r="AY840" s="21"/>
      <c r="AZ840" s="21"/>
      <c r="BA840" s="21"/>
      <c r="BB840" s="228" t="s">
        <v>877</v>
      </c>
      <c r="BC840" s="467">
        <v>352022</v>
      </c>
      <c r="BD840" s="467">
        <v>405878</v>
      </c>
      <c r="BE840" s="467">
        <v>489600</v>
      </c>
      <c r="BF840" s="467">
        <v>626688</v>
      </c>
      <c r="BG840" s="467">
        <v>698170</v>
      </c>
      <c r="BH840" s="21"/>
      <c r="BI840" s="228" t="s">
        <v>877</v>
      </c>
      <c r="BJ840" s="467">
        <v>352022</v>
      </c>
      <c r="BK840" s="467">
        <v>405878</v>
      </c>
      <c r="BL840" s="467">
        <v>489600</v>
      </c>
      <c r="BM840" s="467">
        <v>626688</v>
      </c>
      <c r="BN840" s="467">
        <v>698170</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3.35" customHeight="1">
      <c r="A841"/>
      <c r="B841"/>
      <c r="C841"/>
      <c r="D841"/>
      <c r="E841"/>
      <c r="F841"/>
      <c r="G841"/>
      <c r="H841"/>
      <c r="I841"/>
      <c r="J841" s="8" t="s">
        <v>1233</v>
      </c>
      <c r="K841" s="9"/>
      <c r="L841" s="9"/>
      <c r="M841" s="1097" t="s">
        <v>1317</v>
      </c>
      <c r="N841" s="1098"/>
      <c r="O841" s="1098"/>
      <c r="P841" s="1098"/>
      <c r="Q841" s="1098"/>
      <c r="R841" s="1098"/>
      <c r="S841" s="1098"/>
      <c r="T841" s="1098"/>
      <c r="U841" s="1098"/>
      <c r="V841" s="1099"/>
      <c r="W841" s="1100"/>
      <c r="X841" s="1101"/>
      <c r="Y841" s="1101"/>
      <c r="Z841" s="1101"/>
      <c r="AA841" s="1101"/>
      <c r="AB841" s="1101"/>
      <c r="AC841" s="1102"/>
      <c r="AD841"/>
      <c r="AE841"/>
      <c r="AF841"/>
      <c r="AG841"/>
      <c r="AH841"/>
      <c r="AI841"/>
      <c r="AJ841"/>
      <c r="AK841"/>
      <c r="AL841"/>
      <c r="AM841" s="34"/>
      <c r="AN841" s="34"/>
      <c r="AO841" s="21"/>
      <c r="AP841" s="21"/>
      <c r="AQ841" s="21"/>
      <c r="AR841" s="21"/>
      <c r="AS841" s="21"/>
      <c r="AT841" s="21"/>
      <c r="AU841" s="21"/>
      <c r="AV841" s="21"/>
      <c r="AW841" s="21"/>
      <c r="AX841" s="21"/>
      <c r="AY841" s="21"/>
      <c r="AZ841" s="21"/>
      <c r="BA841" s="21"/>
      <c r="BB841" s="228" t="s">
        <v>879</v>
      </c>
      <c r="BC841" s="468">
        <v>352022</v>
      </c>
      <c r="BD841" s="468">
        <v>405878</v>
      </c>
      <c r="BE841" s="468">
        <v>489600</v>
      </c>
      <c r="BF841" s="468">
        <v>626688</v>
      </c>
      <c r="BG841" s="468">
        <v>698170</v>
      </c>
      <c r="BH841" s="21"/>
      <c r="BI841" s="228" t="s">
        <v>879</v>
      </c>
      <c r="BJ841" s="468">
        <v>352022</v>
      </c>
      <c r="BK841" s="468">
        <v>405878</v>
      </c>
      <c r="BL841" s="468">
        <v>489600</v>
      </c>
      <c r="BM841" s="468">
        <v>626688</v>
      </c>
      <c r="BN841" s="468">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3.35" customHeight="1">
      <c r="A842"/>
      <c r="B842"/>
      <c r="C842"/>
      <c r="D842"/>
      <c r="E842"/>
      <c r="F842"/>
      <c r="G842"/>
      <c r="H842"/>
      <c r="I842"/>
      <c r="J842" s="8" t="s">
        <v>1233</v>
      </c>
      <c r="K842" s="9"/>
      <c r="L842" s="9"/>
      <c r="M842" s="1097" t="s">
        <v>1317</v>
      </c>
      <c r="N842" s="1098"/>
      <c r="O842" s="1098"/>
      <c r="P842" s="1098"/>
      <c r="Q842" s="1098"/>
      <c r="R842" s="1098"/>
      <c r="S842" s="1098"/>
      <c r="T842" s="1098"/>
      <c r="U842" s="1098"/>
      <c r="V842" s="1099"/>
      <c r="W842" s="1100"/>
      <c r="X842" s="1101"/>
      <c r="Y842" s="1101"/>
      <c r="Z842" s="1101"/>
      <c r="AA842" s="1101"/>
      <c r="AB842" s="1101"/>
      <c r="AC842" s="1102"/>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882</v>
      </c>
      <c r="BC842" s="467">
        <v>307732</v>
      </c>
      <c r="BD842" s="467">
        <v>354812</v>
      </c>
      <c r="BE842" s="467">
        <v>428000</v>
      </c>
      <c r="BF842" s="467">
        <v>547840</v>
      </c>
      <c r="BG842" s="467">
        <v>610328</v>
      </c>
      <c r="BH842" s="21"/>
      <c r="BI842" s="228" t="s">
        <v>882</v>
      </c>
      <c r="BJ842" s="467">
        <v>307732</v>
      </c>
      <c r="BK842" s="467">
        <v>354812</v>
      </c>
      <c r="BL842" s="467">
        <v>428000</v>
      </c>
      <c r="BM842" s="467">
        <v>547840</v>
      </c>
      <c r="BN842" s="467">
        <v>610328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3.35" customHeight="1">
      <c r="A843"/>
      <c r="B843"/>
      <c r="C843"/>
      <c r="D843"/>
      <c r="E843"/>
      <c r="F843"/>
      <c r="G843"/>
      <c r="H843"/>
      <c r="I843"/>
      <c r="J843" s="8"/>
      <c r="K843" s="9"/>
      <c r="L843" s="9"/>
      <c r="M843" s="9"/>
      <c r="N843" s="9"/>
      <c r="O843" s="9"/>
      <c r="P843" s="9"/>
      <c r="Q843" s="9"/>
      <c r="R843" s="9"/>
      <c r="S843" s="9"/>
      <c r="T843" s="9"/>
      <c r="U843" s="9"/>
      <c r="V843" s="53" t="s">
        <v>1533</v>
      </c>
      <c r="W843" s="1106">
        <f>SUM(W838:AC842)</f>
        <v>0</v>
      </c>
      <c r="X843" s="1107"/>
      <c r="Y843" s="1107"/>
      <c r="Z843" s="1107"/>
      <c r="AA843" s="1107"/>
      <c r="AB843" s="1107"/>
      <c r="AC843" s="1108"/>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885</v>
      </c>
      <c r="BC843" s="468">
        <v>352022</v>
      </c>
      <c r="BD843" s="468">
        <v>405878</v>
      </c>
      <c r="BE843" s="468">
        <v>489600</v>
      </c>
      <c r="BF843" s="468">
        <v>626688</v>
      </c>
      <c r="BG843" s="468">
        <v>698170</v>
      </c>
      <c r="BH843" s="21"/>
      <c r="BI843" s="228" t="s">
        <v>885</v>
      </c>
      <c r="BJ843" s="468">
        <v>352022</v>
      </c>
      <c r="BK843" s="468">
        <v>405878</v>
      </c>
      <c r="BL843" s="468">
        <v>489600</v>
      </c>
      <c r="BM843" s="468">
        <v>626688</v>
      </c>
      <c r="BN843" s="468">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3.35" customHeight="1">
      <c r="A844"/>
      <c r="B844"/>
      <c r="C844"/>
      <c r="D844"/>
      <c r="E844"/>
      <c r="F844"/>
      <c r="G844"/>
      <c r="H844"/>
      <c r="I844"/>
      <c r="J844"/>
      <c r="K844"/>
      <c r="L844"/>
      <c r="M844"/>
      <c r="N844"/>
      <c r="O844"/>
      <c r="P844"/>
      <c r="Q844"/>
      <c r="R844"/>
      <c r="S844"/>
      <c r="T844"/>
      <c r="U844"/>
      <c r="V844" s="55"/>
      <c r="W844" s="62"/>
      <c r="X844" s="62"/>
      <c r="Y844" s="62"/>
      <c r="Z844" s="62"/>
      <c r="AA844" s="62"/>
      <c r="AB844" s="62"/>
      <c r="AC844"/>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887</v>
      </c>
      <c r="BC844" s="467">
        <v>352022</v>
      </c>
      <c r="BD844" s="467">
        <v>405878</v>
      </c>
      <c r="BE844" s="467">
        <v>489600</v>
      </c>
      <c r="BF844" s="467">
        <v>626688</v>
      </c>
      <c r="BG844" s="467">
        <v>698170</v>
      </c>
      <c r="BH844" s="21"/>
      <c r="BI844" s="228" t="s">
        <v>887</v>
      </c>
      <c r="BJ844" s="467">
        <v>352022</v>
      </c>
      <c r="BK844" s="467">
        <v>405878</v>
      </c>
      <c r="BL844" s="467">
        <v>489600</v>
      </c>
      <c r="BM844" s="467">
        <v>626688</v>
      </c>
      <c r="BN844" s="467">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3.35" customHeight="1">
      <c r="A845"/>
      <c r="B845"/>
      <c r="C845" s="3" t="s">
        <v>1534</v>
      </c>
      <c r="D845"/>
      <c r="E845"/>
      <c r="F845"/>
      <c r="G845"/>
      <c r="H845"/>
      <c r="I845"/>
      <c r="J845"/>
      <c r="K845"/>
      <c r="L845"/>
      <c r="M845"/>
      <c r="N845"/>
      <c r="O845"/>
      <c r="P845"/>
      <c r="Q845"/>
      <c r="R845"/>
      <c r="S845"/>
      <c r="T845"/>
      <c r="U845"/>
      <c r="V845" s="55"/>
      <c r="W845" s="62"/>
      <c r="X845" s="62"/>
      <c r="Y845" s="62"/>
      <c r="Z845" s="62"/>
      <c r="AA845" s="62"/>
      <c r="AB845" s="62"/>
      <c r="AC84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890</v>
      </c>
      <c r="BC845" s="468">
        <v>387110</v>
      </c>
      <c r="BD845" s="468">
        <v>446334</v>
      </c>
      <c r="BE845" s="468">
        <v>538400</v>
      </c>
      <c r="BF845" s="468">
        <v>689152</v>
      </c>
      <c r="BG845" s="468">
        <v>767758</v>
      </c>
      <c r="BH845" s="21"/>
      <c r="BI845" s="228" t="s">
        <v>890</v>
      </c>
      <c r="BJ845" s="468">
        <v>387110</v>
      </c>
      <c r="BK845" s="468">
        <v>446334</v>
      </c>
      <c r="BL845" s="468">
        <v>538400</v>
      </c>
      <c r="BM845" s="468">
        <v>689152</v>
      </c>
      <c r="BN845" s="468">
        <v>767758</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3.35" customHeight="1">
      <c r="A846"/>
      <c r="B846"/>
      <c r="C846"/>
      <c r="D846"/>
      <c r="E846"/>
      <c r="F846"/>
      <c r="G846"/>
      <c r="H846"/>
      <c r="I846"/>
      <c r="J846"/>
      <c r="K846"/>
      <c r="L846"/>
      <c r="M846"/>
      <c r="N846"/>
      <c r="O846"/>
      <c r="P846"/>
      <c r="Q846"/>
      <c r="R846"/>
      <c r="S846"/>
      <c r="T846"/>
      <c r="U846"/>
      <c r="V846" s="55"/>
      <c r="W846" s="62"/>
      <c r="X846" s="62"/>
      <c r="Y846" s="62"/>
      <c r="Z846" s="62"/>
      <c r="AA846" s="62"/>
      <c r="AB846" s="62"/>
      <c r="AC846"/>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894</v>
      </c>
      <c r="BC846" s="467">
        <v>384234</v>
      </c>
      <c r="BD846" s="467">
        <v>443018</v>
      </c>
      <c r="BE846" s="467">
        <v>534400</v>
      </c>
      <c r="BF846" s="467">
        <v>684032</v>
      </c>
      <c r="BG846" s="467">
        <v>762054</v>
      </c>
      <c r="BH846" s="21"/>
      <c r="BI846" s="228" t="s">
        <v>894</v>
      </c>
      <c r="BJ846" s="467">
        <v>384234</v>
      </c>
      <c r="BK846" s="467">
        <v>443018</v>
      </c>
      <c r="BL846" s="467">
        <v>534400</v>
      </c>
      <c r="BM846" s="467">
        <v>684032</v>
      </c>
      <c r="BN846" s="467">
        <v>762054</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3.3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53" t="s">
        <v>1535</v>
      </c>
      <c r="AC847" s="1106">
        <f>W811+W819+W826+W827+W836+W843+W813</f>
        <v>345200</v>
      </c>
      <c r="AD847" s="1107"/>
      <c r="AE847" s="1107"/>
      <c r="AF847" s="1107"/>
      <c r="AG847" s="1107"/>
      <c r="AH847" s="1108"/>
      <c r="AI847"/>
      <c r="AJ847"/>
      <c r="AK847"/>
      <c r="AL847"/>
      <c r="AM847" s="34"/>
      <c r="AN847" s="34"/>
      <c r="AO847" s="21"/>
      <c r="AP847" s="21"/>
      <c r="AQ847" s="21"/>
      <c r="AR847" s="21"/>
      <c r="AS847" s="21"/>
      <c r="AT847" s="21"/>
      <c r="AU847" s="21"/>
      <c r="AV847" s="21"/>
      <c r="AW847" s="21"/>
      <c r="AX847" s="21"/>
      <c r="AY847" s="21"/>
      <c r="AZ847" s="21"/>
      <c r="BA847" s="21"/>
      <c r="BB847" s="228" t="s">
        <v>898</v>
      </c>
      <c r="BC847" s="468">
        <v>352022</v>
      </c>
      <c r="BD847" s="468">
        <v>405878</v>
      </c>
      <c r="BE847" s="468">
        <v>489600</v>
      </c>
      <c r="BF847" s="468">
        <v>626688</v>
      </c>
      <c r="BG847" s="468">
        <v>698170</v>
      </c>
      <c r="BH847" s="21"/>
      <c r="BI847" s="228" t="s">
        <v>898</v>
      </c>
      <c r="BJ847" s="468">
        <v>352022</v>
      </c>
      <c r="BK847" s="468">
        <v>405878</v>
      </c>
      <c r="BL847" s="468">
        <v>489600</v>
      </c>
      <c r="BM847" s="468">
        <v>626688</v>
      </c>
      <c r="BN847" s="468">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s="5" customFormat="1" ht="13.3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53" t="s">
        <v>1536</v>
      </c>
      <c r="AC848" s="1466">
        <f>O762+O742+G717</f>
        <v>44</v>
      </c>
      <c r="AD848" s="1467"/>
      <c r="AE848" s="1467"/>
      <c r="AF848" s="1467"/>
      <c r="AG848" s="1467"/>
      <c r="AH848" s="1468"/>
      <c r="AI848"/>
      <c r="AJ848"/>
      <c r="AK848"/>
      <c r="AL848"/>
      <c r="AM848" s="34"/>
      <c r="AN848" s="34"/>
      <c r="AO848" s="21"/>
      <c r="AP848" s="21"/>
      <c r="AQ848" s="21"/>
      <c r="AR848" s="21"/>
      <c r="AS848" s="21"/>
      <c r="AT848" s="21"/>
      <c r="AU848" s="21"/>
      <c r="AV848" s="21"/>
      <c r="AW848" s="21"/>
      <c r="AX848" s="21"/>
      <c r="AY848" s="21"/>
      <c r="AZ848" s="21"/>
      <c r="BA848" s="21"/>
      <c r="BB848" s="228" t="s">
        <v>901</v>
      </c>
      <c r="BC848" s="467">
        <v>396888</v>
      </c>
      <c r="BD848" s="467">
        <v>457608</v>
      </c>
      <c r="BE848" s="467">
        <v>552000</v>
      </c>
      <c r="BF848" s="467">
        <v>706560</v>
      </c>
      <c r="BG848" s="467">
        <v>787152</v>
      </c>
      <c r="BH848" s="21"/>
      <c r="BI848" s="228" t="s">
        <v>901</v>
      </c>
      <c r="BJ848" s="467">
        <v>396888</v>
      </c>
      <c r="BK848" s="467">
        <v>457608</v>
      </c>
      <c r="BL848" s="467">
        <v>552000</v>
      </c>
      <c r="BM848" s="467">
        <v>706560</v>
      </c>
      <c r="BN848" s="467">
        <v>787152</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s="5" customFormat="1" ht="13.35" customHeight="1" thickBot="1">
      <c r="A849"/>
      <c r="B849"/>
      <c r="C849"/>
      <c r="D849"/>
      <c r="E849" s="1222" t="s">
        <v>1537</v>
      </c>
      <c r="F849" s="1223"/>
      <c r="G849" s="1223"/>
      <c r="H849" s="1223"/>
      <c r="I849" s="1223"/>
      <c r="J849" s="1223"/>
      <c r="K849" s="1223"/>
      <c r="L849" s="1223"/>
      <c r="M849" s="1223"/>
      <c r="N849" s="1223"/>
      <c r="O849" s="1223"/>
      <c r="P849" s="1223"/>
      <c r="Q849" s="1223"/>
      <c r="R849" s="1223"/>
      <c r="S849" s="1223"/>
      <c r="T849" s="1223"/>
      <c r="U849" s="1223"/>
      <c r="V849" s="1223"/>
      <c r="W849" s="1223"/>
      <c r="X849" s="1223"/>
      <c r="Y849" s="1223"/>
      <c r="Z849" s="1223"/>
      <c r="AA849" s="1223"/>
      <c r="AB849" s="1224"/>
      <c r="AC849" s="1456">
        <f>IF(ISERROR((ROUNDDOWN(AC847/AC848,0))),0,(ROUNDDOWN(AC847/AC848,0)))</f>
        <v>7845</v>
      </c>
      <c r="AD849" s="1457"/>
      <c r="AE849" s="1457"/>
      <c r="AF849" s="1457"/>
      <c r="AG849" s="1457"/>
      <c r="AH849" s="1457"/>
      <c r="AI849"/>
      <c r="AJ849"/>
      <c r="AK849"/>
      <c r="AL849" s="3"/>
      <c r="AM849" s="34"/>
      <c r="AN849" s="34"/>
      <c r="AO849" s="21"/>
      <c r="AP849" s="21"/>
      <c r="AQ849" s="21"/>
      <c r="AR849" s="21"/>
      <c r="AS849" s="21"/>
      <c r="AT849" s="21"/>
      <c r="AU849" s="21"/>
      <c r="AV849" s="21"/>
      <c r="AW849" s="21"/>
      <c r="AX849" s="21"/>
      <c r="AY849" s="21"/>
      <c r="AZ849" s="21"/>
      <c r="BA849" s="21"/>
      <c r="BB849" s="228" t="s">
        <v>903</v>
      </c>
      <c r="BC849" s="468">
        <v>331890</v>
      </c>
      <c r="BD849" s="468">
        <v>382666</v>
      </c>
      <c r="BE849" s="468">
        <v>461600</v>
      </c>
      <c r="BF849" s="468">
        <v>590848</v>
      </c>
      <c r="BG849" s="468">
        <v>658242</v>
      </c>
      <c r="BH849" s="21"/>
      <c r="BI849" s="228" t="s">
        <v>903</v>
      </c>
      <c r="BJ849" s="468">
        <v>331890</v>
      </c>
      <c r="BK849" s="468">
        <v>382666</v>
      </c>
      <c r="BL849" s="468">
        <v>461600</v>
      </c>
      <c r="BM849" s="468">
        <v>590848</v>
      </c>
      <c r="BN849" s="468">
        <v>658242</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s="5" customFormat="1" ht="13.35" customHeight="1" thickTop="1">
      <c r="A850"/>
      <c r="B850"/>
      <c r="C850"/>
      <c r="D850"/>
      <c r="E850" s="46"/>
      <c r="F850" s="47"/>
      <c r="G850" s="47"/>
      <c r="H850" s="47"/>
      <c r="I850" s="47"/>
      <c r="J850" s="47"/>
      <c r="K850" s="47"/>
      <c r="L850" s="47"/>
      <c r="M850" s="47"/>
      <c r="N850" s="47"/>
      <c r="O850" s="47"/>
      <c r="P850" s="47"/>
      <c r="Q850" s="47"/>
      <c r="R850" s="47"/>
      <c r="S850" s="47"/>
      <c r="T850" s="47"/>
      <c r="U850" s="47"/>
      <c r="V850" s="47"/>
      <c r="W850" s="47"/>
      <c r="X850" s="47"/>
      <c r="Y850" s="47"/>
      <c r="Z850" s="47"/>
      <c r="AA850" s="47"/>
      <c r="AB850" s="702" t="s">
        <v>1538</v>
      </c>
      <c r="AC850" s="1149">
        <f>+(AC847/12)*3</f>
        <v>86300</v>
      </c>
      <c r="AD850" s="1462"/>
      <c r="AE850" s="1462"/>
      <c r="AF850" s="1462"/>
      <c r="AG850" s="1462"/>
      <c r="AH850" s="1462"/>
      <c r="AI850"/>
      <c r="AJ850"/>
      <c r="AK850"/>
      <c r="AL850"/>
      <c r="AM850" s="34"/>
      <c r="AN850" s="34"/>
      <c r="AO850" s="21"/>
      <c r="AP850" s="21"/>
      <c r="AQ850" s="21"/>
      <c r="AR850" s="21"/>
      <c r="AS850" s="21"/>
      <c r="AT850" s="21"/>
      <c r="AU850" s="21"/>
      <c r="AV850" s="21"/>
      <c r="AW850" s="21"/>
      <c r="AX850" s="21"/>
      <c r="AY850" s="21"/>
      <c r="AZ850" s="21"/>
      <c r="BA850" s="21"/>
      <c r="BB850" s="228" t="s">
        <v>905</v>
      </c>
      <c r="BC850" s="467">
        <v>352022</v>
      </c>
      <c r="BD850" s="467">
        <v>405878</v>
      </c>
      <c r="BE850" s="467">
        <v>489600</v>
      </c>
      <c r="BF850" s="467">
        <v>626688</v>
      </c>
      <c r="BG850" s="467">
        <v>698170</v>
      </c>
      <c r="BH850" s="21"/>
      <c r="BI850" s="228" t="s">
        <v>905</v>
      </c>
      <c r="BJ850" s="467">
        <v>352022</v>
      </c>
      <c r="BK850" s="467">
        <v>405878</v>
      </c>
      <c r="BL850" s="467">
        <v>489600</v>
      </c>
      <c r="BM850" s="467">
        <v>626688</v>
      </c>
      <c r="BN850" s="467">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s="5" customFormat="1" ht="13.3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53" t="s">
        <v>1539</v>
      </c>
      <c r="AC851" s="1102">
        <f>+(15*44)*12</f>
        <v>7920</v>
      </c>
      <c r="AD851" s="1150"/>
      <c r="AE851" s="1150"/>
      <c r="AF851" s="1150"/>
      <c r="AG851" s="1150"/>
      <c r="AH851" s="1150"/>
      <c r="AI851"/>
      <c r="AJ851"/>
      <c r="AK851"/>
      <c r="AL851"/>
      <c r="AM851" s="34"/>
      <c r="AN851" s="34"/>
      <c r="AO851" s="21"/>
      <c r="AP851" s="21"/>
      <c r="AQ851" s="21"/>
      <c r="AR851" s="21"/>
      <c r="AS851" s="21"/>
      <c r="AT851" s="21"/>
      <c r="AU851" s="21"/>
      <c r="AV851" s="21"/>
      <c r="AW851" s="21"/>
      <c r="AX851" s="21"/>
      <c r="AY851" s="21"/>
      <c r="AZ851" s="21"/>
      <c r="BA851" s="21"/>
      <c r="BB851" s="228" t="s">
        <v>909</v>
      </c>
      <c r="BC851" s="468">
        <v>314634</v>
      </c>
      <c r="BD851" s="468">
        <v>362770</v>
      </c>
      <c r="BE851" s="468">
        <v>437600</v>
      </c>
      <c r="BF851" s="468">
        <v>560128</v>
      </c>
      <c r="BG851" s="468">
        <v>624018</v>
      </c>
      <c r="BH851" s="21"/>
      <c r="BI851" s="228" t="s">
        <v>909</v>
      </c>
      <c r="BJ851" s="468">
        <v>314634</v>
      </c>
      <c r="BK851" s="468">
        <v>362770</v>
      </c>
      <c r="BL851" s="468">
        <v>437600</v>
      </c>
      <c r="BM851" s="468">
        <v>560128</v>
      </c>
      <c r="BN851" s="468">
        <v>624018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s="5" customFormat="1" ht="13.3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53" t="s">
        <v>1540</v>
      </c>
      <c r="AC852" s="1100">
        <v>0</v>
      </c>
      <c r="AD852" s="1101"/>
      <c r="AE852" s="1101"/>
      <c r="AF852" s="1101"/>
      <c r="AG852" s="1101"/>
      <c r="AH852" s="1102"/>
      <c r="AI852"/>
      <c r="AJ852"/>
      <c r="AK852"/>
      <c r="AL852"/>
      <c r="AM852" s="34"/>
      <c r="AN852" s="34"/>
      <c r="AO852" s="21"/>
      <c r="AP852" s="21"/>
      <c r="AQ852" s="21"/>
      <c r="AR852" s="21"/>
      <c r="AS852" s="21"/>
      <c r="AT852" s="21"/>
      <c r="AU852" s="21"/>
      <c r="AV852" s="21"/>
      <c r="AW852" s="21"/>
      <c r="AX852" s="21"/>
      <c r="AY852" s="21"/>
      <c r="AZ852" s="21"/>
      <c r="BA852" s="21"/>
      <c r="BB852" s="228" t="s">
        <v>914</v>
      </c>
      <c r="BC852" s="467">
        <v>331890</v>
      </c>
      <c r="BD852" s="467">
        <v>382666</v>
      </c>
      <c r="BE852" s="467">
        <v>461600</v>
      </c>
      <c r="BF852" s="467">
        <v>590848</v>
      </c>
      <c r="BG852" s="467">
        <v>658242</v>
      </c>
      <c r="BH852" s="21"/>
      <c r="BI852" s="228" t="s">
        <v>914</v>
      </c>
      <c r="BJ852" s="467">
        <v>331890</v>
      </c>
      <c r="BK852" s="467">
        <v>382666</v>
      </c>
      <c r="BL852" s="467">
        <v>461600</v>
      </c>
      <c r="BM852" s="467">
        <v>590848</v>
      </c>
      <c r="BN852" s="467">
        <v>658242</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s="5" customFormat="1" ht="13.3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53" t="s">
        <v>1541</v>
      </c>
      <c r="AC853" s="1100">
        <f>300*44</f>
        <v>13200</v>
      </c>
      <c r="AD853" s="1101"/>
      <c r="AE853" s="1101"/>
      <c r="AF853" s="1101"/>
      <c r="AG853" s="1101"/>
      <c r="AH853" s="1102"/>
      <c r="AI853"/>
      <c r="AJ853"/>
      <c r="AK853"/>
      <c r="AL853"/>
      <c r="AM853" s="34"/>
      <c r="AN853" s="34"/>
      <c r="AO853" s="21"/>
      <c r="AP853" s="21"/>
      <c r="AQ853" s="21"/>
      <c r="AR853" s="21"/>
      <c r="AS853" s="21"/>
      <c r="AT853" s="21"/>
      <c r="AU853" s="21"/>
      <c r="AV853" s="21"/>
      <c r="AW853" s="21"/>
      <c r="AX853" s="21"/>
      <c r="AY853" s="21"/>
      <c r="AZ853" s="21"/>
      <c r="BA853" s="21"/>
      <c r="BB853" s="228" t="s">
        <v>919</v>
      </c>
      <c r="BC853" s="468">
        <v>352022</v>
      </c>
      <c r="BD853" s="468">
        <v>405878</v>
      </c>
      <c r="BE853" s="468">
        <v>489600</v>
      </c>
      <c r="BF853" s="468">
        <v>626688</v>
      </c>
      <c r="BG853" s="468">
        <v>698170</v>
      </c>
      <c r="BH853" s="21"/>
      <c r="BI853" s="228" t="s">
        <v>919</v>
      </c>
      <c r="BJ853" s="468">
        <v>352022</v>
      </c>
      <c r="BK853" s="468">
        <v>405878</v>
      </c>
      <c r="BL853" s="468">
        <v>489600</v>
      </c>
      <c r="BM853" s="468">
        <v>626688</v>
      </c>
      <c r="BN853" s="468">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21" customFormat="1" ht="13.3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53" t="s">
        <v>1542</v>
      </c>
      <c r="AC854" s="1100">
        <v>5500</v>
      </c>
      <c r="AD854" s="1101"/>
      <c r="AE854" s="1101"/>
      <c r="AF854" s="1101"/>
      <c r="AG854" s="1101"/>
      <c r="AH854" s="1102"/>
      <c r="AI854"/>
      <c r="AJ854"/>
      <c r="AK854"/>
      <c r="AL854"/>
      <c r="AM854" s="34"/>
      <c r="AN854" s="34"/>
      <c r="BB854" s="228" t="s">
        <v>923</v>
      </c>
      <c r="BC854" s="467">
        <v>314634</v>
      </c>
      <c r="BD854" s="467">
        <v>362770</v>
      </c>
      <c r="BE854" s="467">
        <v>437600</v>
      </c>
      <c r="BF854" s="467">
        <v>560128</v>
      </c>
      <c r="BG854" s="467">
        <v>624018</v>
      </c>
      <c r="BI854" s="228" t="s">
        <v>923</v>
      </c>
      <c r="BJ854" s="467">
        <v>314634</v>
      </c>
      <c r="BK854" s="467">
        <v>362770</v>
      </c>
      <c r="BL854" s="467">
        <v>437600</v>
      </c>
      <c r="BM854" s="467">
        <v>560128</v>
      </c>
      <c r="BN854" s="467">
        <v>624018</v>
      </c>
    </row>
    <row r="855" spans="1:97" s="21" customFormat="1" ht="13.3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53" t="s">
        <v>1543</v>
      </c>
      <c r="AC855" s="1100">
        <v>0</v>
      </c>
      <c r="AD855" s="1101"/>
      <c r="AE855" s="1101"/>
      <c r="AF855" s="1101"/>
      <c r="AG855" s="1101"/>
      <c r="AH855" s="1102"/>
      <c r="AI855"/>
      <c r="AJ855"/>
      <c r="AK855"/>
      <c r="AL855"/>
      <c r="AM855" s="34"/>
      <c r="AN855" s="34"/>
      <c r="BB855" s="228" t="s">
        <v>929</v>
      </c>
      <c r="BC855" s="468">
        <v>353173</v>
      </c>
      <c r="BD855" s="468">
        <v>407205</v>
      </c>
      <c r="BE855" s="468">
        <v>491200</v>
      </c>
      <c r="BF855" s="468">
        <v>628736</v>
      </c>
      <c r="BG855" s="468">
        <v>700451</v>
      </c>
      <c r="BI855" s="228" t="s">
        <v>929</v>
      </c>
      <c r="BJ855" s="468">
        <v>353173</v>
      </c>
      <c r="BK855" s="468">
        <v>407205</v>
      </c>
      <c r="BL855" s="468">
        <v>491200</v>
      </c>
      <c r="BM855" s="468">
        <v>628736</v>
      </c>
      <c r="BN855" s="468">
        <v>700451</v>
      </c>
    </row>
    <row r="856" spans="1:97" s="21" customFormat="1" ht="13.3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53" t="s">
        <v>1544</v>
      </c>
      <c r="AC856" s="1105">
        <v>5000</v>
      </c>
      <c r="AD856" s="1150"/>
      <c r="AE856" s="1150"/>
      <c r="AF856" s="1150"/>
      <c r="AG856" s="1150"/>
      <c r="AH856" s="1150"/>
      <c r="AI856"/>
      <c r="AJ856"/>
      <c r="AK856"/>
      <c r="AL856"/>
      <c r="AM856" s="34"/>
      <c r="AN856" s="34"/>
      <c r="BB856" s="228" t="s">
        <v>934</v>
      </c>
      <c r="BC856" s="467">
        <v>689665</v>
      </c>
      <c r="BD856" s="467">
        <v>795177</v>
      </c>
      <c r="BE856" s="467">
        <v>959200</v>
      </c>
      <c r="BF856" s="467">
        <v>1227776</v>
      </c>
      <c r="BG856" s="467">
        <v>1367819</v>
      </c>
      <c r="BI856" s="228" t="s">
        <v>934</v>
      </c>
      <c r="BJ856" s="467">
        <v>689665</v>
      </c>
      <c r="BK856" s="467">
        <v>795177</v>
      </c>
      <c r="BL856" s="467">
        <v>959200</v>
      </c>
      <c r="BM856" s="467">
        <v>1227776</v>
      </c>
      <c r="BN856" s="467">
        <v>1367819</v>
      </c>
    </row>
    <row r="857" spans="1:97" s="21" customFormat="1" ht="13.35" customHeight="1">
      <c r="A857"/>
      <c r="B857"/>
      <c r="C857"/>
      <c r="D857"/>
      <c r="E857" s="1381" t="s">
        <v>1545</v>
      </c>
      <c r="F857" s="1382"/>
      <c r="G857" s="1382"/>
      <c r="H857" s="1382"/>
      <c r="I857" s="1382"/>
      <c r="J857" s="1382"/>
      <c r="K857" s="1382"/>
      <c r="L857" s="1382"/>
      <c r="M857" s="1382"/>
      <c r="N857" s="1382"/>
      <c r="O857" s="1382"/>
      <c r="P857" s="1382"/>
      <c r="Q857" s="1382"/>
      <c r="R857" s="1382"/>
      <c r="S857" s="1382"/>
      <c r="T857" s="1382"/>
      <c r="U857" s="1382"/>
      <c r="V857" s="1382"/>
      <c r="W857" s="1382"/>
      <c r="X857" s="1382"/>
      <c r="Y857" s="1382"/>
      <c r="Z857" s="1382"/>
      <c r="AA857" s="1382"/>
      <c r="AB857" s="1383"/>
      <c r="AC857" s="1150"/>
      <c r="AD857" s="1150"/>
      <c r="AE857" s="1150"/>
      <c r="AF857" s="1150"/>
      <c r="AG857" s="1150"/>
      <c r="AH857" s="1150"/>
      <c r="AI857"/>
      <c r="AJ857"/>
      <c r="AK857"/>
      <c r="AL857"/>
      <c r="AM857" s="34"/>
      <c r="AN857" s="34"/>
      <c r="BB857" s="228" t="s">
        <v>939</v>
      </c>
      <c r="BC857" s="468">
        <v>307732</v>
      </c>
      <c r="BD857" s="468">
        <v>354812</v>
      </c>
      <c r="BE857" s="468">
        <v>428000</v>
      </c>
      <c r="BF857" s="468">
        <v>547840</v>
      </c>
      <c r="BG857" s="468">
        <v>610328</v>
      </c>
      <c r="BI857" s="228" t="s">
        <v>939</v>
      </c>
      <c r="BJ857" s="468">
        <v>307732</v>
      </c>
      <c r="BK857" s="468">
        <v>354812</v>
      </c>
      <c r="BL857" s="468">
        <v>428000</v>
      </c>
      <c r="BM857" s="468">
        <v>547840</v>
      </c>
      <c r="BN857" s="468">
        <v>610328</v>
      </c>
    </row>
    <row r="858" spans="1:97" s="21" customFormat="1" ht="13.35" customHeight="1">
      <c r="A858"/>
      <c r="B858"/>
      <c r="C858"/>
      <c r="D858"/>
      <c r="E858" s="1381" t="s">
        <v>1545</v>
      </c>
      <c r="F858" s="1382"/>
      <c r="G858" s="1382"/>
      <c r="H858" s="1382"/>
      <c r="I858" s="1382"/>
      <c r="J858" s="1382"/>
      <c r="K858" s="1382"/>
      <c r="L858" s="1382"/>
      <c r="M858" s="1382"/>
      <c r="N858" s="1382"/>
      <c r="O858" s="1382"/>
      <c r="P858" s="1382"/>
      <c r="Q858" s="1382"/>
      <c r="R858" s="1382"/>
      <c r="S858" s="1382"/>
      <c r="T858" s="1382"/>
      <c r="U858" s="1382"/>
      <c r="V858" s="1382"/>
      <c r="W858" s="1382"/>
      <c r="X858" s="1382"/>
      <c r="Y858" s="1382"/>
      <c r="Z858" s="1382"/>
      <c r="AA858" s="1382"/>
      <c r="AB858" s="1383"/>
      <c r="AC858" s="1150"/>
      <c r="AD858" s="1150"/>
      <c r="AE858" s="1150"/>
      <c r="AF858" s="1150"/>
      <c r="AG858" s="1150"/>
      <c r="AH858" s="1150"/>
      <c r="AI858"/>
      <c r="AJ858"/>
      <c r="AK858"/>
      <c r="AL858"/>
      <c r="AM858" s="34"/>
      <c r="AN858" s="34"/>
      <c r="BB858" s="228" t="s">
        <v>943</v>
      </c>
      <c r="BC858" s="467">
        <v>387110</v>
      </c>
      <c r="BD858" s="467">
        <v>446334</v>
      </c>
      <c r="BE858" s="467">
        <v>538400</v>
      </c>
      <c r="BF858" s="467">
        <v>689152</v>
      </c>
      <c r="BG858" s="467">
        <v>767758</v>
      </c>
      <c r="BI858" s="228" t="s">
        <v>943</v>
      </c>
      <c r="BJ858" s="467">
        <v>387110</v>
      </c>
      <c r="BK858" s="467">
        <v>446334</v>
      </c>
      <c r="BL858" s="467">
        <v>538400</v>
      </c>
      <c r="BM858" s="467">
        <v>689152</v>
      </c>
      <c r="BN858" s="467">
        <v>767758</v>
      </c>
    </row>
    <row r="859" spans="1:97" s="21" customFormat="1" ht="13.35" customHeight="1">
      <c r="A859"/>
      <c r="B859"/>
      <c r="C859"/>
      <c r="D859"/>
      <c r="E859"/>
      <c r="F859"/>
      <c r="G859"/>
      <c r="H859"/>
      <c r="I859"/>
      <c r="J859"/>
      <c r="K859"/>
      <c r="L859"/>
      <c r="M859"/>
      <c r="N859"/>
      <c r="O859"/>
      <c r="P859"/>
      <c r="Q859"/>
      <c r="R859"/>
      <c r="S859"/>
      <c r="T859"/>
      <c r="U859"/>
      <c r="V859"/>
      <c r="W859"/>
      <c r="X859"/>
      <c r="Y859"/>
      <c r="Z859"/>
      <c r="AA859"/>
      <c r="AB859" s="55"/>
      <c r="AC859" s="1461"/>
      <c r="AD859" s="1461"/>
      <c r="AE859" s="1461"/>
      <c r="AF859" s="1461"/>
      <c r="AG859" s="1461"/>
      <c r="AH859" s="1461"/>
      <c r="AI859"/>
      <c r="AJ859"/>
      <c r="AK859"/>
      <c r="AL859"/>
      <c r="AM859" s="34"/>
      <c r="AN859" s="34"/>
      <c r="BB859" s="228" t="s">
        <v>947</v>
      </c>
      <c r="BC859" s="466">
        <v>532060</v>
      </c>
      <c r="BD859" s="466">
        <v>613460</v>
      </c>
      <c r="BE859" s="468">
        <v>740000</v>
      </c>
      <c r="BF859" s="466">
        <v>947200</v>
      </c>
      <c r="BG859" s="466">
        <v>1055240</v>
      </c>
      <c r="BI859" s="228" t="s">
        <v>947</v>
      </c>
      <c r="BJ859" s="466">
        <v>532060</v>
      </c>
      <c r="BK859" s="466">
        <v>613460</v>
      </c>
      <c r="BL859" s="466">
        <v>740000</v>
      </c>
      <c r="BM859" s="466">
        <v>947200</v>
      </c>
      <c r="BN859" s="466">
        <v>1055240</v>
      </c>
    </row>
    <row r="860" spans="1:97" s="21" customFormat="1" ht="13.35" customHeight="1">
      <c r="A860" s="3" t="s">
        <v>1272</v>
      </c>
      <c r="B860"/>
      <c r="C860" s="3" t="s">
        <v>1546</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4"/>
      <c r="AN860" s="1452"/>
      <c r="AO860" s="1452"/>
      <c r="AP860" s="1167"/>
      <c r="AQ860" s="1167"/>
      <c r="AR860" s="1167"/>
      <c r="AS860" s="1167"/>
      <c r="BB860" s="228" t="s">
        <v>952</v>
      </c>
      <c r="BC860" s="467">
        <v>387110</v>
      </c>
      <c r="BD860" s="467">
        <v>446334</v>
      </c>
      <c r="BE860" s="467">
        <v>538400</v>
      </c>
      <c r="BF860" s="467">
        <v>689152</v>
      </c>
      <c r="BG860" s="467">
        <v>767758</v>
      </c>
      <c r="BI860" s="228" t="s">
        <v>952</v>
      </c>
      <c r="BJ860" s="467">
        <v>387110</v>
      </c>
      <c r="BK860" s="467">
        <v>446334</v>
      </c>
      <c r="BL860" s="467">
        <v>538400</v>
      </c>
      <c r="BM860" s="467">
        <v>689152</v>
      </c>
      <c r="BN860" s="467">
        <v>767758</v>
      </c>
    </row>
    <row r="861" spans="1:97" s="21" customFormat="1" ht="13.3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15"/>
      <c r="AH861" s="15"/>
      <c r="AI861" s="15"/>
      <c r="AJ861"/>
      <c r="AK861"/>
      <c r="AL861"/>
      <c r="AM861" s="34"/>
      <c r="AN861" s="34"/>
      <c r="AP861" s="1167"/>
      <c r="AQ861" s="1167"/>
      <c r="AR861" s="1167"/>
      <c r="AS861" s="1167"/>
      <c r="AV861" s="1167"/>
      <c r="AW861" s="1167"/>
      <c r="AX861" s="1167"/>
      <c r="AY861" s="1167"/>
      <c r="BB861" s="228" t="s">
        <v>958</v>
      </c>
      <c r="BC861" s="466">
        <v>532060</v>
      </c>
      <c r="BD861" s="466">
        <v>613460</v>
      </c>
      <c r="BE861" s="466">
        <v>740000</v>
      </c>
      <c r="BF861" s="466">
        <v>947200</v>
      </c>
      <c r="BG861" s="466">
        <v>1055240</v>
      </c>
      <c r="BI861" s="228" t="s">
        <v>958</v>
      </c>
      <c r="BJ861" s="466">
        <v>532060</v>
      </c>
      <c r="BK861" s="466">
        <v>613460</v>
      </c>
      <c r="BL861" s="466">
        <v>740000</v>
      </c>
      <c r="BM861" s="466">
        <v>947200</v>
      </c>
      <c r="BN861" s="466">
        <v>1055240</v>
      </c>
    </row>
    <row r="862" spans="1:97" s="21" customFormat="1" ht="13.35" customHeight="1">
      <c r="A862"/>
      <c r="B862" s="3"/>
      <c r="C862"/>
      <c r="D862"/>
      <c r="E862"/>
      <c r="F862"/>
      <c r="G862"/>
      <c r="H862" s="180" t="s">
        <v>1547</v>
      </c>
      <c r="I862" s="9"/>
      <c r="J862" s="9"/>
      <c r="K862" s="9"/>
      <c r="L862" s="9"/>
      <c r="M862" s="9"/>
      <c r="N862" s="9"/>
      <c r="O862" s="9"/>
      <c r="P862" s="9"/>
      <c r="Q862" s="9"/>
      <c r="R862" s="9"/>
      <c r="S862" s="9"/>
      <c r="T862" s="9"/>
      <c r="U862" s="9"/>
      <c r="V862" s="9"/>
      <c r="W862" s="9"/>
      <c r="X862" s="9"/>
      <c r="Y862" s="45"/>
      <c r="Z862" s="1100"/>
      <c r="AA862" s="1101"/>
      <c r="AB862" s="1101"/>
      <c r="AC862" s="1101"/>
      <c r="AD862" s="1101"/>
      <c r="AE862" s="1102"/>
      <c r="AF862"/>
      <c r="AG862"/>
      <c r="AH862"/>
      <c r="AI862"/>
      <c r="AJ862"/>
      <c r="AK862"/>
      <c r="AL862"/>
      <c r="AM862" s="34"/>
      <c r="AN862" s="34"/>
      <c r="BB862" s="228" t="s">
        <v>963</v>
      </c>
      <c r="BC862" s="467">
        <v>387110</v>
      </c>
      <c r="BD862" s="467">
        <v>446334</v>
      </c>
      <c r="BE862" s="467">
        <v>538400</v>
      </c>
      <c r="BF862" s="467">
        <v>689152</v>
      </c>
      <c r="BG862" s="467">
        <v>767758</v>
      </c>
      <c r="BI862" s="228" t="s">
        <v>963</v>
      </c>
      <c r="BJ862" s="467">
        <v>387110</v>
      </c>
      <c r="BK862" s="467">
        <v>446334</v>
      </c>
      <c r="BL862" s="467">
        <v>538400</v>
      </c>
      <c r="BM862" s="467">
        <v>689152</v>
      </c>
      <c r="BN862" s="467">
        <v>767758</v>
      </c>
    </row>
    <row r="863" spans="1:97" s="21" customFormat="1" ht="13.35" customHeight="1">
      <c r="A863"/>
      <c r="B863"/>
      <c r="C863"/>
      <c r="D863"/>
      <c r="E863"/>
      <c r="F863"/>
      <c r="G863"/>
      <c r="H863" s="180" t="s">
        <v>1548</v>
      </c>
      <c r="I863" s="9"/>
      <c r="J863" s="9"/>
      <c r="K863" s="9"/>
      <c r="L863" s="9"/>
      <c r="M863" s="9"/>
      <c r="N863" s="9"/>
      <c r="O863" s="9"/>
      <c r="P863" s="9"/>
      <c r="Q863" s="9"/>
      <c r="R863" s="9"/>
      <c r="S863" s="9"/>
      <c r="T863" s="9"/>
      <c r="U863" s="9"/>
      <c r="V863" s="9"/>
      <c r="W863" s="9"/>
      <c r="X863" s="9"/>
      <c r="Y863" s="9"/>
      <c r="Z863" s="1100"/>
      <c r="AA863" s="1101"/>
      <c r="AB863" s="1101"/>
      <c r="AC863" s="1101"/>
      <c r="AD863" s="1101"/>
      <c r="AE863" s="1102"/>
      <c r="AF863"/>
      <c r="AG863"/>
      <c r="AH863"/>
      <c r="AI863"/>
      <c r="AJ863"/>
      <c r="AK863"/>
      <c r="AL863"/>
      <c r="AM863" s="34"/>
      <c r="AN863" s="34"/>
      <c r="BB863" s="228" t="s">
        <v>968</v>
      </c>
      <c r="BC863" s="468">
        <v>319236</v>
      </c>
      <c r="BD863" s="468">
        <v>368076</v>
      </c>
      <c r="BE863" s="468">
        <v>444000</v>
      </c>
      <c r="BF863" s="468">
        <v>568320</v>
      </c>
      <c r="BG863" s="468">
        <v>633144</v>
      </c>
      <c r="BI863" s="228" t="s">
        <v>968</v>
      </c>
      <c r="BJ863" s="468">
        <v>319236</v>
      </c>
      <c r="BK863" s="468">
        <v>368076</v>
      </c>
      <c r="BL863" s="468">
        <v>444000</v>
      </c>
      <c r="BM863" s="468">
        <v>568320</v>
      </c>
      <c r="BN863" s="468">
        <v>633144</v>
      </c>
    </row>
    <row r="864" spans="1:97" s="21" customFormat="1" ht="13.35" customHeight="1">
      <c r="A864"/>
      <c r="B864"/>
      <c r="C864"/>
      <c r="D864"/>
      <c r="E864"/>
      <c r="F864"/>
      <c r="G864"/>
      <c r="H864" s="180" t="s">
        <v>1549</v>
      </c>
      <c r="I864" s="9"/>
      <c r="J864" s="9"/>
      <c r="K864" s="9"/>
      <c r="L864" s="9"/>
      <c r="M864" s="9"/>
      <c r="N864" s="9"/>
      <c r="O864" s="9"/>
      <c r="P864" s="9"/>
      <c r="Q864" s="9"/>
      <c r="R864" s="9"/>
      <c r="S864" s="9"/>
      <c r="T864" s="9"/>
      <c r="U864" s="9"/>
      <c r="V864" s="9"/>
      <c r="W864" s="9"/>
      <c r="X864" s="9"/>
      <c r="Y864" s="9"/>
      <c r="Z864" s="1100"/>
      <c r="AA864" s="1101"/>
      <c r="AB864" s="1101"/>
      <c r="AC864" s="1101"/>
      <c r="AD864" s="1101"/>
      <c r="AE864" s="1102"/>
      <c r="AF864"/>
      <c r="AG864"/>
      <c r="AH864"/>
      <c r="AI864"/>
      <c r="AJ864"/>
      <c r="AK864"/>
      <c r="AL864"/>
      <c r="AM864" s="34"/>
      <c r="AN864" s="34"/>
      <c r="BB864" s="228" t="s">
        <v>973</v>
      </c>
      <c r="BC864" s="467">
        <v>352022</v>
      </c>
      <c r="BD864" s="467">
        <v>405878</v>
      </c>
      <c r="BE864" s="467">
        <v>489600</v>
      </c>
      <c r="BF864" s="467">
        <v>626688</v>
      </c>
      <c r="BG864" s="467">
        <v>698170</v>
      </c>
      <c r="BI864" s="228" t="s">
        <v>973</v>
      </c>
      <c r="BJ864" s="467">
        <v>352022</v>
      </c>
      <c r="BK864" s="467">
        <v>405878</v>
      </c>
      <c r="BL864" s="467">
        <v>489600</v>
      </c>
      <c r="BM864" s="467">
        <v>626688</v>
      </c>
      <c r="BN864" s="467">
        <v>698170</v>
      </c>
    </row>
    <row r="865" spans="1:97" s="21" customFormat="1" ht="13.35" customHeight="1">
      <c r="A865"/>
      <c r="B865"/>
      <c r="C865"/>
      <c r="D865"/>
      <c r="E865"/>
      <c r="F865"/>
      <c r="G865"/>
      <c r="H865" s="8"/>
      <c r="I865" s="9"/>
      <c r="J865" s="9"/>
      <c r="K865" s="9"/>
      <c r="L865" s="9"/>
      <c r="M865" s="9"/>
      <c r="N865" s="9"/>
      <c r="O865" s="9"/>
      <c r="P865" s="9"/>
      <c r="Q865" s="9"/>
      <c r="R865" s="9"/>
      <c r="S865" s="9"/>
      <c r="T865" s="9"/>
      <c r="U865" s="9"/>
      <c r="V865" s="9"/>
      <c r="W865" s="9"/>
      <c r="X865" s="9"/>
      <c r="Y865" s="261" t="s">
        <v>1550</v>
      </c>
      <c r="Z865" s="1106">
        <f>Z862-(Z863+Z864)</f>
        <v>0</v>
      </c>
      <c r="AA865" s="1107"/>
      <c r="AB865" s="1107"/>
      <c r="AC865" s="1107"/>
      <c r="AD865" s="1107"/>
      <c r="AE865" s="1108"/>
      <c r="AF865"/>
      <c r="AG865"/>
      <c r="AH865"/>
      <c r="AI865"/>
      <c r="AJ865"/>
      <c r="AK865"/>
      <c r="AL865"/>
      <c r="AM865" s="34"/>
      <c r="AN865" s="34"/>
      <c r="BB865" s="228" t="s">
        <v>976</v>
      </c>
      <c r="BC865" s="468">
        <v>352022</v>
      </c>
      <c r="BD865" s="468">
        <v>405878</v>
      </c>
      <c r="BE865" s="468">
        <v>489600</v>
      </c>
      <c r="BF865" s="468">
        <v>626688</v>
      </c>
      <c r="BG865" s="468">
        <v>698170</v>
      </c>
      <c r="BI865" s="228" t="s">
        <v>976</v>
      </c>
      <c r="BJ865" s="468">
        <v>352022</v>
      </c>
      <c r="BK865" s="468">
        <v>405878</v>
      </c>
      <c r="BL865" s="468">
        <v>489600</v>
      </c>
      <c r="BM865" s="468">
        <v>626688</v>
      </c>
      <c r="BN865" s="468">
        <v>698170</v>
      </c>
    </row>
    <row r="866" spans="1:97" s="21" customFormat="1" ht="13.35" customHeight="1">
      <c r="A866"/>
      <c r="B866"/>
      <c r="C866"/>
      <c r="D866" s="24"/>
      <c r="E866" s="15"/>
      <c r="F866" s="15"/>
      <c r="G866" s="15"/>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15"/>
      <c r="AG866"/>
      <c r="AH866"/>
      <c r="AI866"/>
      <c r="AJ866"/>
      <c r="AK866"/>
      <c r="AL866"/>
      <c r="AM866" s="34"/>
      <c r="AN866" s="34"/>
      <c r="BB866" s="228" t="s">
        <v>982</v>
      </c>
      <c r="BC866" s="467">
        <v>384234</v>
      </c>
      <c r="BD866" s="467">
        <v>443018</v>
      </c>
      <c r="BE866" s="467">
        <v>534400</v>
      </c>
      <c r="BF866" s="467">
        <v>684032</v>
      </c>
      <c r="BG866" s="467">
        <v>762054</v>
      </c>
      <c r="BI866" s="228" t="s">
        <v>982</v>
      </c>
      <c r="BJ866" s="467">
        <v>384234</v>
      </c>
      <c r="BK866" s="467">
        <v>443018</v>
      </c>
      <c r="BL866" s="467">
        <v>534400</v>
      </c>
      <c r="BM866" s="467">
        <v>684032</v>
      </c>
      <c r="BN866" s="467">
        <v>762054</v>
      </c>
    </row>
    <row r="867" spans="1:97" s="21" customFormat="1" ht="13.35" customHeight="1">
      <c r="A867"/>
      <c r="B867"/>
      <c r="C867" t="s">
        <v>1551</v>
      </c>
      <c r="D867" s="24"/>
      <c r="E867" s="15"/>
      <c r="F867" s="15"/>
      <c r="G867" s="15"/>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15"/>
      <c r="AG867"/>
      <c r="AH867"/>
      <c r="AI867"/>
      <c r="AJ867"/>
      <c r="AK867"/>
      <c r="AL867"/>
      <c r="AM867" s="34"/>
      <c r="AN867" s="34"/>
      <c r="BB867" s="228" t="s">
        <v>986</v>
      </c>
      <c r="BC867" s="468">
        <v>384234</v>
      </c>
      <c r="BD867" s="468">
        <v>443018</v>
      </c>
      <c r="BE867" s="468">
        <v>534400</v>
      </c>
      <c r="BF867" s="468">
        <v>684032</v>
      </c>
      <c r="BG867" s="468">
        <v>762054</v>
      </c>
      <c r="BI867" s="228" t="s">
        <v>986</v>
      </c>
      <c r="BJ867" s="468">
        <v>384234</v>
      </c>
      <c r="BK867" s="468">
        <v>443018</v>
      </c>
      <c r="BL867" s="468">
        <v>534400</v>
      </c>
      <c r="BM867" s="468">
        <v>684032</v>
      </c>
      <c r="BN867" s="468">
        <v>762054</v>
      </c>
    </row>
    <row r="868" spans="1:97" s="21" customFormat="1" ht="13.35" customHeight="1">
      <c r="A868"/>
      <c r="B868"/>
      <c r="C868" s="262" t="s">
        <v>1552</v>
      </c>
      <c r="D868" s="24"/>
      <c r="E868" s="15"/>
      <c r="F868" s="15"/>
      <c r="G868" s="15"/>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15"/>
      <c r="AG868"/>
      <c r="AH868"/>
      <c r="AI868"/>
      <c r="AJ868"/>
      <c r="AK868"/>
      <c r="AL868"/>
      <c r="AM868" s="34"/>
      <c r="AN868" s="34"/>
      <c r="BB868" s="228" t="s">
        <v>989</v>
      </c>
      <c r="BC868" s="467">
        <v>307732</v>
      </c>
      <c r="BD868" s="467">
        <v>354812</v>
      </c>
      <c r="BE868" s="467">
        <v>428000</v>
      </c>
      <c r="BF868" s="467">
        <v>547840</v>
      </c>
      <c r="BG868" s="467">
        <v>610328</v>
      </c>
      <c r="BI868" s="228" t="s">
        <v>989</v>
      </c>
      <c r="BJ868" s="467">
        <v>307732</v>
      </c>
      <c r="BK868" s="467">
        <v>354812</v>
      </c>
      <c r="BL868" s="467">
        <v>428000</v>
      </c>
      <c r="BM868" s="467">
        <v>547840</v>
      </c>
      <c r="BN868" s="467">
        <v>610328</v>
      </c>
    </row>
    <row r="869" spans="1:97" s="21" customFormat="1" ht="13.35" customHeight="1">
      <c r="A869"/>
      <c r="B869"/>
      <c r="C869" s="262" t="s">
        <v>1553</v>
      </c>
      <c r="D869" s="24"/>
      <c r="E869" s="15"/>
      <c r="F869" s="15"/>
      <c r="G869" s="15"/>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15"/>
      <c r="AG869"/>
      <c r="AH869"/>
      <c r="AI869"/>
      <c r="AJ869"/>
      <c r="AK869"/>
      <c r="AL869"/>
      <c r="AM869" s="34"/>
      <c r="AN869" s="34"/>
      <c r="AT869" s="72"/>
      <c r="AU869" s="72"/>
      <c r="AV869" s="72"/>
      <c r="AW869" s="72"/>
      <c r="AX869" s="72"/>
      <c r="AY869" s="72"/>
      <c r="BB869" s="228" t="s">
        <v>995</v>
      </c>
      <c r="BC869" s="468">
        <v>331890</v>
      </c>
      <c r="BD869" s="468">
        <v>382666</v>
      </c>
      <c r="BE869" s="468">
        <v>461600</v>
      </c>
      <c r="BF869" s="468">
        <v>590848</v>
      </c>
      <c r="BG869" s="468">
        <v>658242</v>
      </c>
      <c r="BI869" s="228" t="s">
        <v>995</v>
      </c>
      <c r="BJ869" s="468">
        <v>331890</v>
      </c>
      <c r="BK869" s="468">
        <v>382666</v>
      </c>
      <c r="BL869" s="468">
        <v>461600</v>
      </c>
      <c r="BM869" s="468">
        <v>590848</v>
      </c>
      <c r="BN869" s="468">
        <v>658242</v>
      </c>
    </row>
    <row r="870" spans="1:97" s="21" customFormat="1" ht="13.35" customHeight="1">
      <c r="A870"/>
      <c r="B870"/>
      <c r="C870" s="21" t="s">
        <v>1554</v>
      </c>
      <c r="D870" s="24"/>
      <c r="E870" s="15"/>
      <c r="F870" s="15"/>
      <c r="G870" s="15"/>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15"/>
      <c r="AG870"/>
      <c r="AH870"/>
      <c r="AI870"/>
      <c r="AJ870"/>
      <c r="AK870"/>
      <c r="AL870"/>
      <c r="AM870" s="34"/>
      <c r="AN870" s="34"/>
      <c r="AT870" s="72"/>
      <c r="AU870" s="72"/>
      <c r="AV870" s="72"/>
      <c r="AW870" s="72"/>
      <c r="AX870" s="72"/>
      <c r="AY870" s="72"/>
      <c r="BB870" s="228" t="s">
        <v>1000</v>
      </c>
      <c r="BC870" s="467">
        <v>352022</v>
      </c>
      <c r="BD870" s="467">
        <v>405878</v>
      </c>
      <c r="BE870" s="467">
        <v>489600</v>
      </c>
      <c r="BF870" s="467">
        <v>626688</v>
      </c>
      <c r="BG870" s="467">
        <v>698170</v>
      </c>
      <c r="BI870" s="228" t="s">
        <v>1000</v>
      </c>
      <c r="BJ870" s="467">
        <v>352022</v>
      </c>
      <c r="BK870" s="467">
        <v>405878</v>
      </c>
      <c r="BL870" s="467">
        <v>489600</v>
      </c>
      <c r="BM870" s="467">
        <v>626688</v>
      </c>
      <c r="BN870" s="467">
        <v>698170</v>
      </c>
    </row>
    <row r="871" spans="1:97" s="21" customFormat="1" ht="13.35" customHeight="1">
      <c r="A871"/>
      <c r="B871"/>
      <c r="D871" s="24"/>
      <c r="E871" s="15"/>
      <c r="F871" s="15"/>
      <c r="G871" s="15"/>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15"/>
      <c r="AG871" s="15"/>
      <c r="AH871" s="15"/>
      <c r="AI871" s="15"/>
      <c r="AJ871"/>
      <c r="AK871"/>
      <c r="AL871"/>
      <c r="AM871" s="289"/>
      <c r="AN871" s="289"/>
      <c r="BB871" s="228" t="s">
        <v>1004</v>
      </c>
      <c r="BC871" s="468">
        <v>352022</v>
      </c>
      <c r="BD871" s="468">
        <v>405878</v>
      </c>
      <c r="BE871" s="468">
        <v>489600</v>
      </c>
      <c r="BF871" s="468">
        <v>626688</v>
      </c>
      <c r="BG871" s="468">
        <v>698170</v>
      </c>
      <c r="BI871" s="228" t="s">
        <v>1004</v>
      </c>
      <c r="BJ871" s="468">
        <v>352022</v>
      </c>
      <c r="BK871" s="468">
        <v>405878</v>
      </c>
      <c r="BL871" s="468">
        <v>489600</v>
      </c>
      <c r="BM871" s="468">
        <v>626688</v>
      </c>
      <c r="BN871" s="468">
        <v>698170</v>
      </c>
    </row>
    <row r="872" spans="1:97" s="21" customFormat="1" ht="13.35" customHeight="1">
      <c r="A872" s="1103" t="s">
        <v>1555</v>
      </c>
      <c r="B872" s="1103"/>
      <c r="C872" s="1103"/>
      <c r="D872" s="1103"/>
      <c r="E872" s="1103"/>
      <c r="F872" s="1103"/>
      <c r="G872" s="1103"/>
      <c r="H872" s="1103"/>
      <c r="I872" s="1103"/>
      <c r="J872" s="1103"/>
      <c r="K872" s="1103"/>
      <c r="L872" s="1103"/>
      <c r="M872" s="1103"/>
      <c r="N872" s="1103"/>
      <c r="O872" s="1103"/>
      <c r="P872" s="1103"/>
      <c r="Q872" s="1103"/>
      <c r="R872" s="1103"/>
      <c r="S872" s="1103"/>
      <c r="T872" s="1103"/>
      <c r="U872" s="1103"/>
      <c r="V872" s="1103"/>
      <c r="W872" s="1103"/>
      <c r="X872" s="1103"/>
      <c r="Y872" s="1103"/>
      <c r="Z872" s="1103"/>
      <c r="AA872" s="1103"/>
      <c r="AB872" s="1103"/>
      <c r="AC872" s="1103"/>
      <c r="AD872" s="1103"/>
      <c r="AE872" s="1103"/>
      <c r="AF872" s="1103"/>
      <c r="AG872" s="1103"/>
      <c r="AH872" s="1103"/>
      <c r="AI872" s="1103"/>
      <c r="AJ872" s="1103"/>
      <c r="AK872" s="1103"/>
      <c r="AL872" s="1103"/>
      <c r="AM872" s="34"/>
      <c r="AN872" s="34"/>
      <c r="BB872" s="228" t="s">
        <v>1009</v>
      </c>
      <c r="BC872" s="467">
        <v>307732</v>
      </c>
      <c r="BD872" s="467">
        <v>354812</v>
      </c>
      <c r="BE872" s="467">
        <v>428000</v>
      </c>
      <c r="BF872" s="467">
        <v>547840</v>
      </c>
      <c r="BG872" s="467">
        <v>610328</v>
      </c>
      <c r="BI872" s="228" t="s">
        <v>1009</v>
      </c>
      <c r="BJ872" s="467">
        <v>307732</v>
      </c>
      <c r="BK872" s="467">
        <v>354812</v>
      </c>
      <c r="BL872" s="467">
        <v>428000</v>
      </c>
      <c r="BM872" s="467">
        <v>547840</v>
      </c>
      <c r="BN872" s="467">
        <v>610328</v>
      </c>
    </row>
    <row r="873" spans="1:97" s="21" customFormat="1" ht="13.35" customHeight="1">
      <c r="A873" s="1103"/>
      <c r="B873" s="1103"/>
      <c r="C873" s="1103"/>
      <c r="D873" s="1103"/>
      <c r="E873" s="1103"/>
      <c r="F873" s="1103"/>
      <c r="G873" s="1103"/>
      <c r="H873" s="1103"/>
      <c r="I873" s="1103"/>
      <c r="J873" s="1103"/>
      <c r="K873" s="1103"/>
      <c r="L873" s="1103"/>
      <c r="M873" s="1103"/>
      <c r="N873" s="1103"/>
      <c r="O873" s="1103"/>
      <c r="P873" s="1103"/>
      <c r="Q873" s="1103"/>
      <c r="R873" s="1103"/>
      <c r="S873" s="1103"/>
      <c r="T873" s="1103"/>
      <c r="U873" s="1103"/>
      <c r="V873" s="1103"/>
      <c r="W873" s="1103"/>
      <c r="X873" s="1103"/>
      <c r="Y873" s="1103"/>
      <c r="Z873" s="1103"/>
      <c r="AA873" s="1103"/>
      <c r="AB873" s="1103"/>
      <c r="AC873" s="1103"/>
      <c r="AD873" s="1103"/>
      <c r="AE873" s="1103"/>
      <c r="AF873" s="1103"/>
      <c r="AG873" s="1103"/>
      <c r="AH873" s="1103"/>
      <c r="AI873" s="1103"/>
      <c r="AJ873" s="1103"/>
      <c r="AK873" s="1103"/>
      <c r="AL873" s="1103"/>
      <c r="AM873" s="34"/>
      <c r="AN873" s="34"/>
      <c r="BB873" s="228" t="s">
        <v>1011</v>
      </c>
      <c r="BC873" s="468">
        <v>352022</v>
      </c>
      <c r="BD873" s="468">
        <v>405878</v>
      </c>
      <c r="BE873" s="468">
        <v>489600</v>
      </c>
      <c r="BF873" s="468">
        <v>626688</v>
      </c>
      <c r="BG873" s="468">
        <v>698170</v>
      </c>
      <c r="BI873" s="228" t="s">
        <v>1011</v>
      </c>
      <c r="BJ873" s="468">
        <v>352022</v>
      </c>
      <c r="BK873" s="468">
        <v>405878</v>
      </c>
      <c r="BL873" s="468">
        <v>489600</v>
      </c>
      <c r="BM873" s="468">
        <v>626688</v>
      </c>
      <c r="BN873" s="468">
        <v>698170</v>
      </c>
    </row>
    <row r="874" spans="1:97" ht="13.3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37"/>
      <c r="AM874" s="37"/>
      <c r="AN874" s="37"/>
      <c r="AO874" s="37"/>
      <c r="AP874" s="37"/>
      <c r="AQ874" s="37"/>
      <c r="AR874" s="37"/>
      <c r="AS874" s="37"/>
      <c r="AT874" s="37"/>
      <c r="AU874" s="37"/>
      <c r="AV874" s="37"/>
      <c r="AW874" s="37"/>
      <c r="AX874" s="37"/>
      <c r="AY874" s="37"/>
      <c r="AZ874" s="37"/>
      <c r="BA874" s="37"/>
      <c r="BB874" s="228" t="s">
        <v>1014</v>
      </c>
      <c r="BC874" s="467">
        <v>387110</v>
      </c>
      <c r="BD874" s="467">
        <v>446334</v>
      </c>
      <c r="BE874" s="467">
        <v>538400</v>
      </c>
      <c r="BF874" s="467">
        <v>689152</v>
      </c>
      <c r="BG874" s="467">
        <v>767758</v>
      </c>
      <c r="BH874" s="21"/>
      <c r="BI874" s="228" t="s">
        <v>1014</v>
      </c>
      <c r="BJ874" s="467">
        <v>387110</v>
      </c>
      <c r="BK874" s="467">
        <v>446334</v>
      </c>
      <c r="BL874" s="467">
        <v>538400</v>
      </c>
      <c r="BM874" s="467">
        <v>689152</v>
      </c>
      <c r="BN874" s="467">
        <v>767758</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row>
    <row r="875" spans="1:97" ht="13.35" customHeight="1">
      <c r="A875" s="3" t="s">
        <v>854</v>
      </c>
      <c r="C875" s="3" t="s">
        <v>237</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37"/>
      <c r="AN875" s="37"/>
      <c r="AO875" s="37"/>
      <c r="AP875" s="37"/>
      <c r="AQ875" s="37"/>
      <c r="AR875" s="37"/>
      <c r="AS875" s="37"/>
      <c r="AT875" s="37"/>
      <c r="AU875" s="37"/>
      <c r="AV875" s="37"/>
      <c r="AW875" s="37"/>
      <c r="AX875" s="37"/>
      <c r="AY875" s="37"/>
      <c r="AZ875" s="37"/>
      <c r="BA875" s="37"/>
      <c r="BB875" s="228" t="s">
        <v>1020</v>
      </c>
      <c r="BC875" s="468">
        <v>331890</v>
      </c>
      <c r="BD875" s="468">
        <v>382666</v>
      </c>
      <c r="BE875" s="468">
        <v>461600</v>
      </c>
      <c r="BF875" s="468">
        <v>590848</v>
      </c>
      <c r="BG875" s="468">
        <v>658242</v>
      </c>
      <c r="BH875" s="21"/>
      <c r="BI875" s="228" t="s">
        <v>1020</v>
      </c>
      <c r="BJ875" s="468">
        <v>331890</v>
      </c>
      <c r="BK875" s="468">
        <v>382666</v>
      </c>
      <c r="BL875" s="468">
        <v>461600</v>
      </c>
      <c r="BM875" s="468">
        <v>590848</v>
      </c>
      <c r="BN875" s="468">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row>
    <row r="876" spans="1:97" ht="13.35" customHeight="1">
      <c r="AM876" s="37"/>
      <c r="AN876" s="37"/>
      <c r="AO876" s="37"/>
      <c r="AP876" s="37"/>
      <c r="AQ876" s="37"/>
      <c r="AR876" s="37"/>
      <c r="AS876" s="37"/>
      <c r="AT876" s="37"/>
      <c r="AU876" s="37"/>
      <c r="AV876" s="37"/>
      <c r="AW876" s="37"/>
      <c r="AX876" s="37"/>
      <c r="AY876" s="37"/>
      <c r="AZ876" s="37"/>
      <c r="BA876" s="37"/>
      <c r="BB876" s="228" t="s">
        <v>1023</v>
      </c>
      <c r="BC876" s="467">
        <v>331890</v>
      </c>
      <c r="BD876" s="467">
        <v>382666</v>
      </c>
      <c r="BE876" s="467">
        <v>461600</v>
      </c>
      <c r="BF876" s="467">
        <v>590848</v>
      </c>
      <c r="BG876" s="467">
        <v>658242</v>
      </c>
      <c r="BH876" s="21"/>
      <c r="BI876" s="228" t="s">
        <v>1023</v>
      </c>
      <c r="BJ876" s="467">
        <v>331890</v>
      </c>
      <c r="BK876" s="467">
        <v>382666</v>
      </c>
      <c r="BL876" s="467">
        <v>461600</v>
      </c>
      <c r="BM876" s="467">
        <v>590848</v>
      </c>
      <c r="BN876" s="467">
        <v>658242</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row>
    <row r="877" spans="1:97" ht="13.35" customHeight="1">
      <c r="F877" s="1463" t="s">
        <v>1556</v>
      </c>
      <c r="G877" s="1464"/>
      <c r="H877" s="1464"/>
      <c r="I877" s="1464"/>
      <c r="J877" s="1464"/>
      <c r="K877" s="1464"/>
      <c r="L877" s="1464"/>
      <c r="M877" s="1464"/>
      <c r="N877" s="1464"/>
      <c r="O877" s="1464"/>
      <c r="P877" s="1464"/>
      <c r="Q877" s="1464"/>
      <c r="R877" s="1464"/>
      <c r="S877" s="1464"/>
      <c r="T877" s="1465"/>
      <c r="U877" s="1127" t="s">
        <v>1557</v>
      </c>
      <c r="V877" s="1128"/>
      <c r="W877" s="1128"/>
      <c r="X877" s="1128"/>
      <c r="Y877" s="1128"/>
      <c r="Z877" s="1128"/>
      <c r="AA877" s="43"/>
      <c r="AB877" s="876"/>
      <c r="AC877" s="876"/>
      <c r="AD877" s="876"/>
      <c r="AE877" s="876"/>
      <c r="AF877" s="895"/>
      <c r="AM877" s="37"/>
      <c r="AN877" s="37"/>
      <c r="AO877" s="37"/>
      <c r="AP877" s="37"/>
      <c r="AQ877" s="37"/>
      <c r="AR877" s="37"/>
      <c r="AS877" s="37"/>
      <c r="AT877" s="37"/>
      <c r="AU877" s="37"/>
      <c r="AV877" s="37"/>
      <c r="AW877" s="37"/>
      <c r="AX877" s="37"/>
      <c r="AY877" s="37"/>
      <c r="AZ877" s="37"/>
      <c r="BA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row>
    <row r="878" spans="1:97" ht="13.35" customHeight="1">
      <c r="B878" s="3"/>
      <c r="F878" s="1129" t="s">
        <v>1558</v>
      </c>
      <c r="G878" s="1130"/>
      <c r="H878" s="1130"/>
      <c r="I878" s="1130"/>
      <c r="J878" s="1130"/>
      <c r="K878" s="1130"/>
      <c r="L878" s="1130"/>
      <c r="M878" s="1130"/>
      <c r="N878" s="1130"/>
      <c r="O878" s="1130"/>
      <c r="P878" s="1130"/>
      <c r="Q878" s="1130"/>
      <c r="R878" s="1130"/>
      <c r="S878" s="1130"/>
      <c r="T878" s="1219"/>
      <c r="U878" s="1129"/>
      <c r="V878" s="1130"/>
      <c r="W878" s="1130"/>
      <c r="X878" s="1130"/>
      <c r="Y878" s="1130"/>
      <c r="Z878" s="1130"/>
      <c r="AA878" s="44"/>
      <c r="AB878" s="37"/>
      <c r="AC878" s="37"/>
      <c r="AD878" s="37"/>
      <c r="AE878" s="37"/>
      <c r="AF878" s="896"/>
      <c r="AM878" s="37"/>
      <c r="AN878" s="37"/>
      <c r="AO878" s="37"/>
      <c r="AP878" s="37"/>
      <c r="AQ878" s="37"/>
      <c r="AR878" s="37"/>
      <c r="AS878" s="37"/>
      <c r="AT878" s="37"/>
      <c r="AU878" s="37"/>
      <c r="AV878" s="37"/>
      <c r="AW878" s="37"/>
      <c r="AX878" s="37"/>
      <c r="AY878" s="37"/>
      <c r="AZ878" s="37"/>
      <c r="BA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row>
    <row r="879" spans="1:97" ht="13.35" customHeight="1">
      <c r="B879" s="3"/>
      <c r="F879" s="1131"/>
      <c r="G879" s="1132"/>
      <c r="H879" s="1132"/>
      <c r="I879" s="1132"/>
      <c r="J879" s="1132"/>
      <c r="K879" s="1132"/>
      <c r="L879" s="1132"/>
      <c r="M879" s="1132"/>
      <c r="N879" s="1132"/>
      <c r="O879" s="1132"/>
      <c r="P879" s="1132"/>
      <c r="Q879" s="1132"/>
      <c r="R879" s="1132"/>
      <c r="S879" s="1132"/>
      <c r="T879" s="1220"/>
      <c r="U879" s="1131"/>
      <c r="V879" s="1132"/>
      <c r="W879" s="1132"/>
      <c r="X879" s="1132"/>
      <c r="Y879" s="1132"/>
      <c r="Z879" s="1132"/>
      <c r="AA879" s="746"/>
      <c r="AB879" s="1469" t="s">
        <v>1559</v>
      </c>
      <c r="AC879" s="1469"/>
      <c r="AD879" s="1469"/>
      <c r="AE879" s="1469"/>
      <c r="AF879" s="402"/>
      <c r="AM879" s="37"/>
      <c r="AN879" s="37"/>
      <c r="AO879" s="37"/>
      <c r="AP879" s="37"/>
      <c r="AQ879" s="37"/>
      <c r="AR879" s="37"/>
      <c r="AS879" s="37"/>
      <c r="AT879" s="37"/>
      <c r="AU879" s="37"/>
      <c r="AV879" s="37"/>
      <c r="AW879" s="37"/>
      <c r="AX879" s="37"/>
      <c r="AY879" s="37"/>
      <c r="AZ879" s="37"/>
      <c r="BA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row>
    <row r="880" spans="1:97" ht="13.35" customHeight="1">
      <c r="F880" s="8" t="s">
        <v>1560</v>
      </c>
      <c r="G880" s="9"/>
      <c r="H880" s="9"/>
      <c r="I880" s="9"/>
      <c r="J880" s="9"/>
      <c r="K880" s="9"/>
      <c r="L880" s="9"/>
      <c r="M880" s="9"/>
      <c r="N880" s="9"/>
      <c r="O880" s="9"/>
      <c r="P880" s="9"/>
      <c r="Q880" s="9"/>
      <c r="R880" s="9"/>
      <c r="S880" s="9"/>
      <c r="T880" s="45"/>
      <c r="U880" s="1122" t="s">
        <v>325</v>
      </c>
      <c r="V880" s="1059"/>
      <c r="W880" s="1059"/>
      <c r="X880" s="1059"/>
      <c r="Y880" s="1059"/>
      <c r="Z880" s="1123"/>
      <c r="AA880" s="1148"/>
      <c r="AB880" s="1089"/>
      <c r="AC880" s="1089"/>
      <c r="AD880" s="1089"/>
      <c r="AE880" s="1089"/>
      <c r="AF880" s="1149"/>
      <c r="AM880" s="37"/>
      <c r="AN880" s="37"/>
      <c r="AO880" s="37"/>
      <c r="AP880" s="37"/>
      <c r="AQ880" s="37"/>
      <c r="AR880" s="37"/>
      <c r="AS880" s="37"/>
      <c r="AT880" s="37"/>
      <c r="AU880" s="37"/>
      <c r="AV880" s="37"/>
      <c r="AW880" s="37"/>
      <c r="AX880" s="37"/>
      <c r="AY880" s="37"/>
      <c r="AZ880" s="37"/>
      <c r="BA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row>
    <row r="881" spans="6:97" ht="13.35" customHeight="1">
      <c r="F881" s="8" t="s">
        <v>1561</v>
      </c>
      <c r="G881" s="9"/>
      <c r="H881" s="9"/>
      <c r="I881" s="9"/>
      <c r="J881" s="9"/>
      <c r="K881" s="9"/>
      <c r="L881" s="9"/>
      <c r="M881" s="9"/>
      <c r="N881" s="9"/>
      <c r="O881" s="9"/>
      <c r="P881" s="9"/>
      <c r="Q881" s="9"/>
      <c r="R881" s="9"/>
      <c r="S881" s="9"/>
      <c r="T881" s="45"/>
      <c r="U881" s="1122" t="s">
        <v>325</v>
      </c>
      <c r="V881" s="1059"/>
      <c r="W881" s="1059"/>
      <c r="X881" s="1059"/>
      <c r="Y881" s="1059"/>
      <c r="Z881" s="1123"/>
      <c r="AA881" s="1148"/>
      <c r="AB881" s="1089"/>
      <c r="AC881" s="1089"/>
      <c r="AD881" s="1089"/>
      <c r="AE881" s="1089"/>
      <c r="AF881" s="1149"/>
      <c r="AM881" s="37"/>
      <c r="AN881" s="37"/>
      <c r="AO881" s="37"/>
      <c r="AP881" s="37"/>
      <c r="AQ881" s="37"/>
      <c r="AR881" s="37"/>
      <c r="AS881" s="37"/>
      <c r="AT881" s="37"/>
      <c r="AU881" s="37"/>
      <c r="AV881" s="37"/>
      <c r="AW881" s="37"/>
      <c r="AX881" s="37"/>
      <c r="AY881" s="37"/>
      <c r="AZ881" s="37"/>
      <c r="BA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row>
    <row r="882" spans="6:97" ht="13.35" customHeight="1">
      <c r="F882" s="180" t="s">
        <v>1562</v>
      </c>
      <c r="G882" s="9"/>
      <c r="H882" s="9"/>
      <c r="I882" s="9"/>
      <c r="J882" s="9"/>
      <c r="K882" s="9"/>
      <c r="L882" s="9"/>
      <c r="M882" s="9"/>
      <c r="N882" s="9"/>
      <c r="O882" s="9"/>
      <c r="P882" s="9"/>
      <c r="Q882" s="9"/>
      <c r="R882" s="9"/>
      <c r="S882" s="9"/>
      <c r="T882" s="45"/>
      <c r="U882" s="1122" t="s">
        <v>325</v>
      </c>
      <c r="V882" s="1059"/>
      <c r="W882" s="1059"/>
      <c r="X882" s="1059"/>
      <c r="Y882" s="1059"/>
      <c r="Z882" s="1123"/>
      <c r="AA882" s="1148"/>
      <c r="AB882" s="1089"/>
      <c r="AC882" s="1089"/>
      <c r="AD882" s="1089"/>
      <c r="AE882" s="1089"/>
      <c r="AF882" s="1149"/>
      <c r="AM882" s="37"/>
      <c r="AN882" s="37"/>
      <c r="AO882" s="37"/>
      <c r="AP882" s="37"/>
      <c r="AQ882" s="37"/>
      <c r="AR882" s="37"/>
      <c r="AS882" s="37"/>
      <c r="AT882" s="37"/>
      <c r="AU882" s="37"/>
      <c r="AV882" s="37"/>
      <c r="AW882" s="37"/>
      <c r="AX882" s="37"/>
      <c r="AY882" s="37"/>
      <c r="AZ882" s="37"/>
      <c r="BA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row>
    <row r="883" spans="6:97" ht="13.35" customHeight="1">
      <c r="F883" s="180" t="s">
        <v>1563</v>
      </c>
      <c r="G883" s="9"/>
      <c r="H883" s="9"/>
      <c r="I883" s="9"/>
      <c r="J883" s="9"/>
      <c r="K883" s="9"/>
      <c r="L883" s="9"/>
      <c r="M883" s="9"/>
      <c r="N883" s="9"/>
      <c r="O883" s="9"/>
      <c r="P883" s="9"/>
      <c r="Q883" s="9"/>
      <c r="R883" s="9"/>
      <c r="S883" s="9"/>
      <c r="T883" s="45"/>
      <c r="U883" s="1122" t="s">
        <v>325</v>
      </c>
      <c r="V883" s="1059"/>
      <c r="W883" s="1059"/>
      <c r="X883" s="1059"/>
      <c r="Y883" s="1059"/>
      <c r="Z883" s="1123"/>
      <c r="AA883" s="1148"/>
      <c r="AB883" s="1089"/>
      <c r="AC883" s="1089"/>
      <c r="AD883" s="1089"/>
      <c r="AE883" s="1089"/>
      <c r="AF883" s="1149"/>
      <c r="AM883" s="37"/>
      <c r="AN883" s="37"/>
      <c r="AO883" s="37"/>
      <c r="AP883" s="37"/>
      <c r="AQ883" s="37"/>
      <c r="AR883" s="37"/>
      <c r="AS883" s="37"/>
      <c r="AT883" s="37"/>
      <c r="AU883" s="37"/>
      <c r="AV883" s="37"/>
      <c r="AW883" s="37"/>
      <c r="AX883" s="37"/>
      <c r="AY883" s="37"/>
      <c r="AZ883" s="37"/>
      <c r="BA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row>
    <row r="884" spans="6:97" ht="13.35" customHeight="1">
      <c r="F884" s="180" t="s">
        <v>1564</v>
      </c>
      <c r="G884" s="9"/>
      <c r="H884" s="9"/>
      <c r="I884" s="9"/>
      <c r="J884" s="9"/>
      <c r="K884" s="9"/>
      <c r="L884" s="9"/>
      <c r="M884" s="9"/>
      <c r="N884" s="9"/>
      <c r="O884" s="9"/>
      <c r="P884" s="9"/>
      <c r="Q884" s="9"/>
      <c r="R884" s="9"/>
      <c r="S884" s="9"/>
      <c r="T884" s="45"/>
      <c r="U884" s="1122" t="s">
        <v>325</v>
      </c>
      <c r="V884" s="1059"/>
      <c r="W884" s="1059"/>
      <c r="X884" s="1059"/>
      <c r="Y884" s="1059"/>
      <c r="Z884" s="1123"/>
      <c r="AA884" s="1148"/>
      <c r="AB884" s="1089"/>
      <c r="AC884" s="1089"/>
      <c r="AD884" s="1089"/>
      <c r="AE884" s="1089"/>
      <c r="AF884" s="1149"/>
      <c r="AM884" s="37"/>
      <c r="AN884" s="37"/>
      <c r="AO884" s="37"/>
      <c r="AP884" s="37"/>
      <c r="AQ884" s="37"/>
      <c r="AR884" s="37"/>
      <c r="AS884" s="37"/>
      <c r="AT884" s="37"/>
      <c r="AU884" s="37"/>
      <c r="AV884" s="37"/>
      <c r="AW884" s="37"/>
      <c r="AX884" s="37"/>
      <c r="AY884" s="37"/>
      <c r="AZ884" s="37"/>
      <c r="BA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row>
    <row r="885" spans="6:97" ht="13.35" customHeight="1">
      <c r="F885" s="8" t="s">
        <v>1565</v>
      </c>
      <c r="G885" s="9"/>
      <c r="H885" s="9"/>
      <c r="I885" s="9"/>
      <c r="J885" s="9"/>
      <c r="K885" s="9"/>
      <c r="L885" s="9"/>
      <c r="M885" s="9"/>
      <c r="N885" s="9"/>
      <c r="O885" s="9"/>
      <c r="P885" s="9"/>
      <c r="Q885" s="9"/>
      <c r="R885" s="9"/>
      <c r="S885" s="9"/>
      <c r="T885" s="45"/>
      <c r="U885" s="1122" t="s">
        <v>325</v>
      </c>
      <c r="V885" s="1059"/>
      <c r="W885" s="1059"/>
      <c r="X885" s="1059"/>
      <c r="Y885" s="1059"/>
      <c r="Z885" s="1123"/>
      <c r="AA885" s="1148"/>
      <c r="AB885" s="1089"/>
      <c r="AC885" s="1089"/>
      <c r="AD885" s="1089"/>
      <c r="AE885" s="1089"/>
      <c r="AF885" s="1149"/>
      <c r="AL885" s="23"/>
      <c r="AT885" s="37"/>
      <c r="AU885" s="37"/>
      <c r="AV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row>
    <row r="886" spans="6:97" ht="13.35" customHeight="1">
      <c r="F886" s="8" t="s">
        <v>1566</v>
      </c>
      <c r="G886" s="9"/>
      <c r="H886" s="9"/>
      <c r="I886" s="9"/>
      <c r="J886" s="9"/>
      <c r="K886" s="9"/>
      <c r="L886" s="9"/>
      <c r="M886" s="9"/>
      <c r="N886" s="9"/>
      <c r="O886" s="9"/>
      <c r="P886" s="9"/>
      <c r="Q886" s="9"/>
      <c r="R886" s="9"/>
      <c r="S886" s="9"/>
      <c r="T886" s="45"/>
      <c r="U886" s="1122" t="s">
        <v>325</v>
      </c>
      <c r="V886" s="1059"/>
      <c r="W886" s="1059"/>
      <c r="X886" s="1059"/>
      <c r="Y886" s="1059"/>
      <c r="Z886" s="1123"/>
      <c r="AA886" s="1148"/>
      <c r="AB886" s="1089"/>
      <c r="AC886" s="1089"/>
      <c r="AD886" s="1089"/>
      <c r="AE886" s="1089"/>
      <c r="AF886" s="1149"/>
      <c r="AL886" s="23"/>
      <c r="AT886" s="37"/>
      <c r="AU886" s="37"/>
      <c r="AV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row>
    <row r="887" spans="6:97" ht="13.35" customHeight="1">
      <c r="F887" s="535" t="s">
        <v>1567</v>
      </c>
      <c r="G887" s="9"/>
      <c r="H887" s="9"/>
      <c r="I887" s="9"/>
      <c r="J887" s="9"/>
      <c r="K887" s="9"/>
      <c r="L887" s="9"/>
      <c r="M887" s="9"/>
      <c r="N887" s="9"/>
      <c r="O887" s="9"/>
      <c r="P887" s="9"/>
      <c r="Q887" s="9"/>
      <c r="R887" s="9"/>
      <c r="S887" s="9"/>
      <c r="T887" s="45"/>
      <c r="U887" s="1122" t="s">
        <v>325</v>
      </c>
      <c r="V887" s="1059"/>
      <c r="W887" s="1059"/>
      <c r="X887" s="1059"/>
      <c r="Y887" s="1059"/>
      <c r="Z887" s="1123"/>
      <c r="AA887" s="1148"/>
      <c r="AB887" s="1089"/>
      <c r="AC887" s="1089"/>
      <c r="AD887" s="1089"/>
      <c r="AE887" s="1089"/>
      <c r="AF887" s="1149"/>
      <c r="AL887" s="897"/>
      <c r="AT887" s="37"/>
      <c r="AU887" s="37"/>
      <c r="AV887" s="37"/>
      <c r="BH887" s="21"/>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row>
    <row r="888" spans="6:97" ht="13.35" customHeight="1">
      <c r="F888" s="8" t="s">
        <v>1568</v>
      </c>
      <c r="G888" s="9"/>
      <c r="H888" s="9"/>
      <c r="I888" s="9"/>
      <c r="J888" s="9"/>
      <c r="K888" s="9"/>
      <c r="L888" s="9"/>
      <c r="M888" s="9"/>
      <c r="N888" s="9"/>
      <c r="O888" s="9"/>
      <c r="P888" s="9"/>
      <c r="Q888" s="9"/>
      <c r="R888" s="9"/>
      <c r="S888" s="9"/>
      <c r="T888" s="45"/>
      <c r="U888" s="1122" t="s">
        <v>325</v>
      </c>
      <c r="V888" s="1059"/>
      <c r="W888" s="1059"/>
      <c r="X888" s="1059"/>
      <c r="Y888" s="1059"/>
      <c r="Z888" s="1123"/>
      <c r="AA888" s="1148"/>
      <c r="AB888" s="1089"/>
      <c r="AC888" s="1089"/>
      <c r="AD888" s="1089"/>
      <c r="AE888" s="1089"/>
      <c r="AF888" s="1149"/>
      <c r="AL888" s="897"/>
      <c r="AT888" s="37"/>
      <c r="AU888" s="37"/>
      <c r="AV888" s="37"/>
      <c r="BH888" s="21"/>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6:97" ht="13.35" customHeight="1">
      <c r="F889" s="180" t="s">
        <v>1569</v>
      </c>
      <c r="G889" s="9"/>
      <c r="H889" s="9"/>
      <c r="I889" s="9"/>
      <c r="J889" s="9"/>
      <c r="K889" s="9"/>
      <c r="L889" s="9"/>
      <c r="M889" s="9"/>
      <c r="N889" s="9"/>
      <c r="O889" s="9"/>
      <c r="P889" s="9"/>
      <c r="Q889" s="9"/>
      <c r="R889" s="9"/>
      <c r="S889" s="9"/>
      <c r="T889" s="45"/>
      <c r="U889" s="1122" t="s">
        <v>325</v>
      </c>
      <c r="V889" s="1059"/>
      <c r="W889" s="1059"/>
      <c r="X889" s="1059"/>
      <c r="Y889" s="1059"/>
      <c r="Z889" s="1123"/>
      <c r="AA889" s="1148"/>
      <c r="AB889" s="1089"/>
      <c r="AC889" s="1089"/>
      <c r="AD889" s="1089"/>
      <c r="AE889" s="1089"/>
      <c r="AF889" s="1149"/>
      <c r="AL889" s="897"/>
      <c r="AT889" s="37"/>
      <c r="AU889" s="37"/>
      <c r="AV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6:97" ht="13.35" customHeight="1">
      <c r="F890" s="8" t="s">
        <v>1570</v>
      </c>
      <c r="G890" s="9"/>
      <c r="H890" s="9"/>
      <c r="I890" s="9"/>
      <c r="J890" s="9"/>
      <c r="K890" s="9"/>
      <c r="L890" s="9"/>
      <c r="M890" s="9"/>
      <c r="N890" s="9"/>
      <c r="O890" s="9"/>
      <c r="P890" s="9"/>
      <c r="Q890" s="9"/>
      <c r="R890" s="9"/>
      <c r="S890" s="9"/>
      <c r="T890" s="45"/>
      <c r="U890" s="1174" t="s">
        <v>325</v>
      </c>
      <c r="V890" s="1175"/>
      <c r="W890" s="1175"/>
      <c r="X890" s="1175"/>
      <c r="Y890" s="1175"/>
      <c r="Z890" s="1176"/>
      <c r="AA890" s="1162"/>
      <c r="AB890" s="1090"/>
      <c r="AC890" s="1090"/>
      <c r="AD890" s="1090"/>
      <c r="AE890" s="1090"/>
      <c r="AF890" s="1163"/>
      <c r="AL890" s="897"/>
      <c r="AT890" s="37"/>
      <c r="AU890" s="37"/>
      <c r="AV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6:97" ht="13.35" customHeight="1">
      <c r="F891" s="180" t="s">
        <v>1571</v>
      </c>
      <c r="G891" s="9"/>
      <c r="H891" s="9"/>
      <c r="I891" s="9"/>
      <c r="J891" s="9"/>
      <c r="K891" s="9"/>
      <c r="L891" s="9"/>
      <c r="M891" s="9"/>
      <c r="N891" s="9"/>
      <c r="O891" s="9"/>
      <c r="P891" s="9"/>
      <c r="Q891" s="9"/>
      <c r="R891" s="9"/>
      <c r="S891" s="9"/>
      <c r="T891" s="45"/>
      <c r="U891" s="1122" t="s">
        <v>325</v>
      </c>
      <c r="V891" s="1059"/>
      <c r="W891" s="1059"/>
      <c r="X891" s="1059"/>
      <c r="Y891" s="1059"/>
      <c r="Z891" s="1123"/>
      <c r="AA891" s="1148"/>
      <c r="AB891" s="1089"/>
      <c r="AC891" s="1089"/>
      <c r="AD891" s="1089"/>
      <c r="AE891" s="1089"/>
      <c r="AF891" s="1149"/>
      <c r="AL891" s="897"/>
      <c r="AT891" s="37"/>
      <c r="AU891" s="37"/>
      <c r="AV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6:97" ht="13.35" customHeight="1">
      <c r="F892" s="180" t="s">
        <v>1572</v>
      </c>
      <c r="G892" s="9"/>
      <c r="H892" s="9"/>
      <c r="I892" s="9"/>
      <c r="J892" s="9"/>
      <c r="K892" s="9"/>
      <c r="L892" s="9"/>
      <c r="M892" s="9"/>
      <c r="N892" s="9"/>
      <c r="O892" s="9"/>
      <c r="P892" s="9"/>
      <c r="Q892" s="9"/>
      <c r="R892" s="9"/>
      <c r="S892" s="9"/>
      <c r="T892" s="45"/>
      <c r="U892" s="1122" t="s">
        <v>325</v>
      </c>
      <c r="V892" s="1059"/>
      <c r="W892" s="1059"/>
      <c r="X892" s="1059"/>
      <c r="Y892" s="1059"/>
      <c r="Z892" s="1123"/>
      <c r="AA892" s="1148"/>
      <c r="AB892" s="1089"/>
      <c r="AC892" s="1089"/>
      <c r="AD892" s="1089"/>
      <c r="AE892" s="1089"/>
      <c r="AF892" s="1149"/>
      <c r="AL892" s="897"/>
      <c r="AT892" s="37"/>
      <c r="AU892" s="37"/>
      <c r="AV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6:97" ht="13.35" customHeight="1">
      <c r="F893" s="180" t="s">
        <v>1573</v>
      </c>
      <c r="G893" s="9"/>
      <c r="H893" s="9"/>
      <c r="I893" s="9"/>
      <c r="J893" s="9"/>
      <c r="K893" s="9"/>
      <c r="L893" s="9"/>
      <c r="M893" s="9"/>
      <c r="N893" s="9"/>
      <c r="O893" s="9"/>
      <c r="P893" s="9"/>
      <c r="Q893" s="9"/>
      <c r="R893" s="9"/>
      <c r="S893" s="9"/>
      <c r="T893" s="45"/>
      <c r="U893" s="1122" t="s">
        <v>325</v>
      </c>
      <c r="V893" s="1059"/>
      <c r="W893" s="1059"/>
      <c r="X893" s="1059"/>
      <c r="Y893" s="1059"/>
      <c r="Z893" s="1123"/>
      <c r="AA893" s="1148"/>
      <c r="AB893" s="1089"/>
      <c r="AC893" s="1089"/>
      <c r="AD893" s="1089"/>
      <c r="AE893" s="1089"/>
      <c r="AF893" s="1149"/>
      <c r="AL893" s="897"/>
      <c r="AT893" s="37"/>
      <c r="AU893" s="37"/>
      <c r="AV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6:97" ht="13.35" customHeight="1">
      <c r="F894" s="8" t="s">
        <v>1574</v>
      </c>
      <c r="G894" s="9"/>
      <c r="H894" s="9"/>
      <c r="I894" s="9"/>
      <c r="J894" s="9"/>
      <c r="K894" s="9"/>
      <c r="L894" s="9"/>
      <c r="M894" s="9"/>
      <c r="N894" s="9"/>
      <c r="O894" s="9"/>
      <c r="P894" s="1174" t="s">
        <v>712</v>
      </c>
      <c r="Q894" s="1059"/>
      <c r="R894" s="1059"/>
      <c r="S894" s="1059"/>
      <c r="T894" s="1123"/>
      <c r="U894" s="1122" t="s">
        <v>325</v>
      </c>
      <c r="V894" s="1059"/>
      <c r="W894" s="1059"/>
      <c r="X894" s="1059"/>
      <c r="Y894" s="1059"/>
      <c r="Z894" s="1123"/>
      <c r="AA894" s="1148"/>
      <c r="AB894" s="1089"/>
      <c r="AC894" s="1089"/>
      <c r="AD894" s="1089"/>
      <c r="AE894" s="1089"/>
      <c r="AF894" s="1149"/>
      <c r="AL894" s="897"/>
      <c r="AT894" s="37"/>
      <c r="AU894" s="37"/>
      <c r="AV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6:97" ht="13.35" customHeight="1">
      <c r="F895" s="8" t="s">
        <v>1049</v>
      </c>
      <c r="G895" s="47"/>
      <c r="H895" s="47"/>
      <c r="I895" s="1097" t="s">
        <v>1317</v>
      </c>
      <c r="J895" s="1098"/>
      <c r="K895" s="1098"/>
      <c r="L895" s="1098"/>
      <c r="M895" s="1098"/>
      <c r="N895" s="1098"/>
      <c r="O895" s="1098"/>
      <c r="P895" s="1098"/>
      <c r="Q895" s="1098"/>
      <c r="R895" s="1098"/>
      <c r="S895" s="1098"/>
      <c r="T895" s="1099"/>
      <c r="U895" s="1122" t="s">
        <v>325</v>
      </c>
      <c r="V895" s="1059"/>
      <c r="W895" s="1059"/>
      <c r="X895" s="1059"/>
      <c r="Y895" s="1059"/>
      <c r="Z895" s="1123"/>
      <c r="AA895" s="1148"/>
      <c r="AB895" s="1089"/>
      <c r="AC895" s="1089"/>
      <c r="AD895" s="1089"/>
      <c r="AE895" s="1089"/>
      <c r="AF895" s="1149"/>
      <c r="AL895" s="897"/>
      <c r="AT895" s="37"/>
      <c r="AU895" s="37"/>
      <c r="AV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6:97" ht="13.35" customHeight="1">
      <c r="F896" s="8" t="s">
        <v>1575</v>
      </c>
      <c r="G896" s="47"/>
      <c r="H896" s="47"/>
      <c r="I896" s="1097" t="s">
        <v>1317</v>
      </c>
      <c r="J896" s="1098"/>
      <c r="K896" s="1098"/>
      <c r="L896" s="1098"/>
      <c r="M896" s="1098"/>
      <c r="N896" s="1098"/>
      <c r="O896" s="1098"/>
      <c r="P896" s="1098"/>
      <c r="Q896" s="1098"/>
      <c r="R896" s="1098"/>
      <c r="S896" s="1098"/>
      <c r="T896" s="1099"/>
      <c r="U896" s="1122" t="s">
        <v>325</v>
      </c>
      <c r="V896" s="1059"/>
      <c r="W896" s="1059"/>
      <c r="X896" s="1059"/>
      <c r="Y896" s="1059"/>
      <c r="Z896" s="1123"/>
      <c r="AA896" s="1148"/>
      <c r="AB896" s="1089"/>
      <c r="AC896" s="1089"/>
      <c r="AD896" s="1089"/>
      <c r="AE896" s="1089"/>
      <c r="AF896" s="1149"/>
      <c r="AL896" s="897"/>
      <c r="AT896" s="37"/>
      <c r="AU896" s="37"/>
      <c r="AV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3.35" customHeight="1">
      <c r="F897" s="46" t="s">
        <v>1233</v>
      </c>
      <c r="G897" s="47"/>
      <c r="H897" s="47"/>
      <c r="I897" s="1097" t="s">
        <v>1317</v>
      </c>
      <c r="J897" s="1098"/>
      <c r="K897" s="1098"/>
      <c r="L897" s="1098"/>
      <c r="M897" s="1098"/>
      <c r="N897" s="1098"/>
      <c r="O897" s="1098"/>
      <c r="P897" s="1098"/>
      <c r="Q897" s="1098"/>
      <c r="R897" s="1098"/>
      <c r="S897" s="1098"/>
      <c r="T897" s="1099"/>
      <c r="U897" s="1122" t="s">
        <v>325</v>
      </c>
      <c r="V897" s="1059"/>
      <c r="W897" s="1059"/>
      <c r="X897" s="1059"/>
      <c r="Y897" s="1059"/>
      <c r="Z897" s="1123"/>
      <c r="AA897" s="1148"/>
      <c r="AB897" s="1089"/>
      <c r="AC897" s="1089"/>
      <c r="AD897" s="1089"/>
      <c r="AE897" s="1089"/>
      <c r="AF897" s="1149"/>
      <c r="AL897" s="897"/>
      <c r="AT897" s="37"/>
      <c r="AU897" s="37"/>
      <c r="AV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3.35" customHeight="1">
      <c r="A898" s="21"/>
      <c r="F898" s="46" t="s">
        <v>1233</v>
      </c>
      <c r="G898" s="47"/>
      <c r="H898" s="47"/>
      <c r="I898" s="1097" t="s">
        <v>1317</v>
      </c>
      <c r="J898" s="1098"/>
      <c r="K898" s="1098"/>
      <c r="L898" s="1098"/>
      <c r="M898" s="1098"/>
      <c r="N898" s="1098"/>
      <c r="O898" s="1098"/>
      <c r="P898" s="1098"/>
      <c r="Q898" s="1098"/>
      <c r="R898" s="1098"/>
      <c r="S898" s="1098"/>
      <c r="T898" s="1099"/>
      <c r="U898" s="1122" t="s">
        <v>325</v>
      </c>
      <c r="V898" s="1059"/>
      <c r="W898" s="1059"/>
      <c r="X898" s="1059"/>
      <c r="Y898" s="1059"/>
      <c r="Z898" s="1123"/>
      <c r="AA898" s="1148"/>
      <c r="AB898" s="1089"/>
      <c r="AC898" s="1089"/>
      <c r="AD898" s="1089"/>
      <c r="AE898" s="1089"/>
      <c r="AF898" s="1149"/>
      <c r="AL898" s="897"/>
      <c r="AT898" s="37"/>
      <c r="AU898" s="37"/>
      <c r="AV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3.35" customHeight="1">
      <c r="AL899" s="897"/>
      <c r="AT899" s="37"/>
      <c r="AU899" s="37"/>
      <c r="AV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3.35" customHeight="1">
      <c r="A900" s="3" t="s">
        <v>889</v>
      </c>
      <c r="C900" s="3" t="s">
        <v>242</v>
      </c>
      <c r="AL900" s="897"/>
      <c r="AT900" s="37"/>
      <c r="AU900" s="37"/>
      <c r="AV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3.35" customHeight="1">
      <c r="B901" s="3"/>
      <c r="C901" s="4" t="s">
        <v>1576</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97"/>
      <c r="AT901" s="37"/>
      <c r="AU901" s="37"/>
      <c r="AV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3.35" customHeight="1">
      <c r="AL902" s="897"/>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3.35" customHeight="1">
      <c r="C903" s="180" t="s">
        <v>1577</v>
      </c>
      <c r="D903" s="9"/>
      <c r="E903" s="9"/>
      <c r="F903" s="9"/>
      <c r="G903" s="9"/>
      <c r="H903" s="9"/>
      <c r="I903" s="9"/>
      <c r="J903" s="9"/>
      <c r="K903" s="9"/>
      <c r="L903" s="1157">
        <v>44958</v>
      </c>
      <c r="M903" s="1250"/>
      <c r="N903" s="1250"/>
      <c r="O903" s="1250"/>
      <c r="P903" s="1250"/>
      <c r="Q903" s="1250"/>
      <c r="R903" s="1250"/>
      <c r="S903" s="1286"/>
      <c r="U903" s="180" t="s">
        <v>1577</v>
      </c>
      <c r="V903" s="9"/>
      <c r="W903" s="9"/>
      <c r="X903" s="9"/>
      <c r="Y903" s="9"/>
      <c r="Z903" s="9"/>
      <c r="AA903" s="9"/>
      <c r="AB903" s="9"/>
      <c r="AC903" s="9"/>
      <c r="AD903" s="45"/>
      <c r="AE903" s="1157"/>
      <c r="AF903" s="1158"/>
      <c r="AG903" s="1158"/>
      <c r="AH903" s="1158"/>
      <c r="AI903" s="1158"/>
      <c r="AJ903" s="1158"/>
      <c r="AK903" s="1159"/>
      <c r="AL903" s="897"/>
      <c r="AM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3.35" customHeight="1">
      <c r="C904" s="180" t="s">
        <v>1578</v>
      </c>
      <c r="D904" s="9"/>
      <c r="E904" s="9"/>
      <c r="F904" s="9"/>
      <c r="G904" s="9"/>
      <c r="H904" s="9"/>
      <c r="I904" s="9"/>
      <c r="J904" s="9"/>
      <c r="K904" s="9"/>
      <c r="L904" s="1160" t="s">
        <v>1579</v>
      </c>
      <c r="M904" s="1250"/>
      <c r="N904" s="1250"/>
      <c r="O904" s="1250"/>
      <c r="P904" s="1250"/>
      <c r="Q904" s="1250"/>
      <c r="R904" s="1250"/>
      <c r="S904" s="1286"/>
      <c r="U904" s="180" t="s">
        <v>1578</v>
      </c>
      <c r="V904" s="9"/>
      <c r="W904" s="9"/>
      <c r="X904" s="9"/>
      <c r="Y904" s="9"/>
      <c r="Z904" s="9"/>
      <c r="AA904" s="9"/>
      <c r="AB904" s="9"/>
      <c r="AC904" s="9"/>
      <c r="AD904" s="45"/>
      <c r="AE904" s="1160"/>
      <c r="AF904" s="1088"/>
      <c r="AG904" s="1088"/>
      <c r="AH904" s="1088"/>
      <c r="AI904" s="1088"/>
      <c r="AJ904" s="1088"/>
      <c r="AK904" s="1161"/>
      <c r="AL904" s="897"/>
      <c r="AM904" s="37"/>
      <c r="AN904" s="37"/>
      <c r="AO904" s="37"/>
      <c r="AP904" s="37"/>
      <c r="AQ904" s="37"/>
      <c r="AR904" s="37"/>
      <c r="AS904" s="37"/>
      <c r="AT904" s="37"/>
      <c r="AU904" s="37"/>
      <c r="AV904" s="37"/>
      <c r="AW904" s="34"/>
      <c r="AX904" s="34"/>
      <c r="AY904" s="21"/>
      <c r="AZ904" s="21"/>
      <c r="BA904" s="21"/>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3.35" customHeight="1">
      <c r="C905" s="180" t="s">
        <v>1580</v>
      </c>
      <c r="D905" s="9"/>
      <c r="E905" s="9"/>
      <c r="L905" s="1283" t="s">
        <v>1581</v>
      </c>
      <c r="M905" s="1284"/>
      <c r="N905" s="1284"/>
      <c r="O905" s="1284"/>
      <c r="P905" s="1284"/>
      <c r="Q905" s="1284"/>
      <c r="R905" s="1284"/>
      <c r="S905" s="1285"/>
      <c r="U905" s="180" t="s">
        <v>1580</v>
      </c>
      <c r="V905" s="9"/>
      <c r="W905" s="9"/>
      <c r="AE905" s="1124" t="s">
        <v>320</v>
      </c>
      <c r="AF905" s="1125"/>
      <c r="AG905" s="1125"/>
      <c r="AH905" s="1125"/>
      <c r="AI905" s="1125"/>
      <c r="AJ905" s="1125"/>
      <c r="AK905" s="1126"/>
      <c r="AL905" s="897"/>
      <c r="AM905" s="37"/>
      <c r="AN905" s="37"/>
      <c r="AO905" s="37"/>
      <c r="AP905" s="37"/>
      <c r="AQ905" s="37"/>
      <c r="AR905" s="37"/>
      <c r="AS905" s="37"/>
      <c r="AT905" s="37"/>
      <c r="AU905" s="37"/>
      <c r="AV905" s="37"/>
      <c r="AW905" s="34" t="s">
        <v>1582</v>
      </c>
      <c r="AX905" s="177">
        <v>20</v>
      </c>
      <c r="AY905" s="1168">
        <f>IF(AD941&gt;0,0.2,0)</f>
        <v>0</v>
      </c>
      <c r="AZ905" s="1168"/>
      <c r="BA905" s="21"/>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3.35" customHeight="1">
      <c r="C906" s="180" t="s">
        <v>1583</v>
      </c>
      <c r="D906" s="9"/>
      <c r="E906" s="9"/>
      <c r="F906" s="9"/>
      <c r="G906" s="9"/>
      <c r="H906" s="9"/>
      <c r="I906" s="9"/>
      <c r="J906" s="9"/>
      <c r="K906" s="9"/>
      <c r="L906" s="1154">
        <v>0.51</v>
      </c>
      <c r="M906" s="1155"/>
      <c r="N906" s="1155"/>
      <c r="O906" s="1155"/>
      <c r="P906" s="1155"/>
      <c r="Q906" s="1155"/>
      <c r="R906" s="1155"/>
      <c r="S906" s="1156"/>
      <c r="U906" s="180" t="s">
        <v>1583</v>
      </c>
      <c r="V906" s="9"/>
      <c r="W906" s="9"/>
      <c r="X906" s="9"/>
      <c r="Y906" s="9"/>
      <c r="Z906" s="9"/>
      <c r="AA906" s="9"/>
      <c r="AB906" s="9"/>
      <c r="AC906" s="9"/>
      <c r="AD906" s="45"/>
      <c r="AE906" s="1154"/>
      <c r="AF906" s="1155"/>
      <c r="AG906" s="1155"/>
      <c r="AH906" s="1155"/>
      <c r="AI906" s="1155"/>
      <c r="AJ906" s="1155"/>
      <c r="AK906" s="1156"/>
      <c r="AL906" s="897"/>
      <c r="AM906" s="37"/>
      <c r="AN906" s="37"/>
      <c r="AO906" s="37"/>
      <c r="AP906" s="37"/>
      <c r="AQ906" s="37"/>
      <c r="AR906" s="37"/>
      <c r="AS906" s="37"/>
      <c r="AT906" s="37"/>
      <c r="AU906" s="37"/>
      <c r="AV906" s="37"/>
      <c r="AX906">
        <v>5</v>
      </c>
      <c r="AY906" s="1168">
        <f>IF(AD944&gt;0,0.05,0)</f>
        <v>0</v>
      </c>
      <c r="AZ906" s="1168"/>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3.35" customHeight="1">
      <c r="C907" s="180" t="s">
        <v>1584</v>
      </c>
      <c r="D907" s="9"/>
      <c r="E907" s="9"/>
      <c r="F907" s="9"/>
      <c r="G907" s="9"/>
      <c r="H907" s="9"/>
      <c r="I907" s="9"/>
      <c r="J907" s="9"/>
      <c r="K907" s="9"/>
      <c r="L907" s="1274">
        <v>22</v>
      </c>
      <c r="M907" s="1275"/>
      <c r="N907" s="1275"/>
      <c r="O907" s="1275"/>
      <c r="P907" s="1275"/>
      <c r="Q907" s="1275"/>
      <c r="R907" s="1275"/>
      <c r="S907" s="1276"/>
      <c r="U907" s="180" t="s">
        <v>1584</v>
      </c>
      <c r="V907" s="9"/>
      <c r="W907" s="9"/>
      <c r="X907" s="9"/>
      <c r="Y907" s="9"/>
      <c r="Z907" s="9"/>
      <c r="AA907" s="9"/>
      <c r="AB907" s="9"/>
      <c r="AC907" s="9"/>
      <c r="AD907" s="45"/>
      <c r="AE907" s="1277"/>
      <c r="AF907" s="1213"/>
      <c r="AG907" s="1213"/>
      <c r="AH907" s="1213"/>
      <c r="AI907" s="1213"/>
      <c r="AJ907" s="1213"/>
      <c r="AK907" s="1214"/>
      <c r="AL907" s="897"/>
      <c r="AM907" s="37"/>
      <c r="AN907" s="37"/>
      <c r="AO907" s="37"/>
      <c r="AP907" s="37"/>
      <c r="AQ907" s="37"/>
      <c r="AR907" s="37"/>
      <c r="AS907" s="37"/>
      <c r="AT907" s="37"/>
      <c r="AU907" s="37"/>
      <c r="AV907" s="37"/>
      <c r="AW907" s="34" t="s">
        <v>1585</v>
      </c>
      <c r="AX907" s="177">
        <v>7</v>
      </c>
      <c r="AY907" s="1254">
        <f>IF(AD948&gt;0,0.07,0)</f>
        <v>0</v>
      </c>
      <c r="AZ907" s="1254"/>
      <c r="BA907" s="21"/>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3.35" customHeight="1">
      <c r="C908" s="180" t="s">
        <v>1586</v>
      </c>
      <c r="D908" s="9"/>
      <c r="E908" s="9"/>
      <c r="F908" s="9"/>
      <c r="G908" s="9"/>
      <c r="H908" s="9"/>
      <c r="I908" s="9"/>
      <c r="J908" s="9"/>
      <c r="K908" s="9"/>
      <c r="L908" s="1100">
        <f>+'Subsidy Contract Calculation'!F30</f>
        <v>485760</v>
      </c>
      <c r="M908" s="1101"/>
      <c r="N908" s="1101"/>
      <c r="O908" s="1101"/>
      <c r="P908" s="1101"/>
      <c r="Q908" s="1101"/>
      <c r="R908" s="1101"/>
      <c r="S908" s="1102"/>
      <c r="U908" s="180" t="s">
        <v>1586</v>
      </c>
      <c r="V908" s="9"/>
      <c r="W908" s="9"/>
      <c r="X908" s="9"/>
      <c r="Y908" s="9"/>
      <c r="Z908" s="9"/>
      <c r="AA908" s="9"/>
      <c r="AB908" s="9"/>
      <c r="AC908" s="9"/>
      <c r="AD908" s="45"/>
      <c r="AE908" s="1148"/>
      <c r="AF908" s="1089"/>
      <c r="AG908" s="1089"/>
      <c r="AH908" s="1089"/>
      <c r="AI908" s="1089"/>
      <c r="AJ908" s="1089"/>
      <c r="AK908" s="1149"/>
      <c r="AL908" s="897"/>
      <c r="AM908" s="37"/>
      <c r="AN908" s="37"/>
      <c r="AO908" s="37"/>
      <c r="AP908" s="37"/>
      <c r="AQ908" s="37"/>
      <c r="AR908" s="37"/>
      <c r="AS908" s="37"/>
      <c r="AT908" s="37"/>
      <c r="AU908" s="37"/>
      <c r="AV908" s="37"/>
      <c r="AW908" s="34" t="s">
        <v>1587</v>
      </c>
      <c r="AX908" s="177">
        <v>2</v>
      </c>
      <c r="AY908" s="1144">
        <f>IF(AD952&gt;0,0.02,0)</f>
        <v>0</v>
      </c>
      <c r="AZ908" s="1146"/>
      <c r="BA908" s="21"/>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3.35" customHeight="1">
      <c r="C909" s="180" t="s">
        <v>1588</v>
      </c>
      <c r="D909" s="9"/>
      <c r="E909" s="9"/>
      <c r="F909" s="9"/>
      <c r="G909" s="9"/>
      <c r="H909" s="9"/>
      <c r="I909" s="9"/>
      <c r="J909" s="9"/>
      <c r="K909" s="9"/>
      <c r="L909" s="1100">
        <f>+L908*20</f>
        <v>9715200</v>
      </c>
      <c r="M909" s="1101"/>
      <c r="N909" s="1101"/>
      <c r="O909" s="1101"/>
      <c r="P909" s="1101"/>
      <c r="Q909" s="1101"/>
      <c r="R909" s="1101"/>
      <c r="S909" s="1102"/>
      <c r="U909" s="180" t="s">
        <v>1588</v>
      </c>
      <c r="V909" s="9"/>
      <c r="W909" s="9"/>
      <c r="X909" s="9"/>
      <c r="Y909" s="9"/>
      <c r="Z909" s="9"/>
      <c r="AA909" s="9"/>
      <c r="AB909" s="9"/>
      <c r="AC909" s="9"/>
      <c r="AD909" s="45"/>
      <c r="AE909" s="1148"/>
      <c r="AF909" s="1089"/>
      <c r="AG909" s="1089"/>
      <c r="AH909" s="1089"/>
      <c r="AI909" s="1089"/>
      <c r="AJ909" s="1089"/>
      <c r="AK909" s="1149"/>
      <c r="AL909" s="897"/>
      <c r="AM909" s="37"/>
      <c r="AN909" s="37"/>
      <c r="AO909" s="37"/>
      <c r="AP909" s="37"/>
      <c r="AQ909" s="37"/>
      <c r="AR909" s="37"/>
      <c r="AS909" s="37"/>
      <c r="AT909" s="37"/>
      <c r="AU909" s="37"/>
      <c r="AV909" s="37"/>
      <c r="AW909" s="34" t="s">
        <v>1589</v>
      </c>
      <c r="AX909" s="177">
        <v>2</v>
      </c>
      <c r="AY909" s="1144">
        <f>IF(AD954&gt;0,0.02,0)</f>
        <v>0</v>
      </c>
      <c r="AZ909" s="1146"/>
      <c r="BA909" s="21"/>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3.35" customHeight="1">
      <c r="C910" s="180" t="s">
        <v>1219</v>
      </c>
      <c r="D910" s="9"/>
      <c r="E910" s="9"/>
      <c r="F910" s="9"/>
      <c r="G910" s="9"/>
      <c r="H910" s="9"/>
      <c r="I910" s="9"/>
      <c r="J910" s="9"/>
      <c r="K910" s="9"/>
      <c r="L910" s="1270"/>
      <c r="M910" s="1271"/>
      <c r="N910" s="1271"/>
      <c r="O910" s="1271"/>
      <c r="P910" s="1271"/>
      <c r="Q910" s="1271"/>
      <c r="R910" s="1271"/>
      <c r="S910" s="1272"/>
      <c r="U910" s="180" t="s">
        <v>1219</v>
      </c>
      <c r="V910" s="9"/>
      <c r="W910" s="9"/>
      <c r="X910" s="9"/>
      <c r="Y910" s="9"/>
      <c r="Z910" s="9"/>
      <c r="AA910" s="9"/>
      <c r="AB910" s="9"/>
      <c r="AC910" s="9"/>
      <c r="AD910" s="45"/>
      <c r="AE910" s="1270"/>
      <c r="AF910" s="1271"/>
      <c r="AG910" s="1271"/>
      <c r="AH910" s="1271"/>
      <c r="AI910" s="1271"/>
      <c r="AJ910" s="1271"/>
      <c r="AK910" s="1272"/>
      <c r="AL910" s="897"/>
      <c r="AM910" s="37"/>
      <c r="AN910" s="37"/>
      <c r="AO910" s="37"/>
      <c r="AP910" s="37"/>
      <c r="AQ910" s="37"/>
      <c r="AR910" s="37"/>
      <c r="AS910" s="37"/>
      <c r="AT910" s="37"/>
      <c r="AU910" s="37"/>
      <c r="AV910" s="37"/>
      <c r="AW910" s="34" t="s">
        <v>1590</v>
      </c>
      <c r="AX910" s="177">
        <v>10</v>
      </c>
      <c r="AY910" s="1261">
        <f>AY918</f>
        <v>0</v>
      </c>
      <c r="AZ910" s="1262"/>
      <c r="BA910" s="21"/>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3.35" customHeight="1">
      <c r="AL911" s="897"/>
      <c r="AM911" s="37"/>
      <c r="AN911" s="37"/>
      <c r="AO911" s="37"/>
      <c r="AP911" s="37"/>
      <c r="AQ911" s="37"/>
      <c r="AR911" s="37"/>
      <c r="AS911" s="37"/>
      <c r="AT911" s="37"/>
      <c r="AU911" s="37"/>
      <c r="AV911" s="37"/>
      <c r="AW911" s="34" t="s">
        <v>1591</v>
      </c>
      <c r="AX911" s="177">
        <v>15</v>
      </c>
      <c r="AY911" s="1144"/>
      <c r="AZ911" s="1146"/>
      <c r="BA911" s="21"/>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3.35" customHeight="1">
      <c r="A912" s="3" t="s">
        <v>970</v>
      </c>
      <c r="C912" s="3" t="s">
        <v>1592</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97"/>
      <c r="AM912" s="37"/>
      <c r="AN912" s="37"/>
      <c r="AO912" s="37"/>
      <c r="AP912" s="37"/>
      <c r="AQ912" s="37"/>
      <c r="AR912" s="37"/>
      <c r="AS912" s="37"/>
      <c r="AT912" s="37"/>
      <c r="AU912" s="37"/>
      <c r="AV912" s="37"/>
      <c r="AW912" s="34" t="s">
        <v>1593</v>
      </c>
      <c r="AX912" s="177"/>
      <c r="AY912" s="1317"/>
      <c r="AZ912" s="1318"/>
      <c r="BA912" s="1319"/>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3.35" customHeight="1">
      <c r="B913" s="3"/>
      <c r="C913" s="4" t="s">
        <v>1594</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97"/>
      <c r="AM913" s="37"/>
      <c r="AN913" s="37"/>
      <c r="AO913" s="37"/>
      <c r="AP913" s="37"/>
      <c r="AQ913" s="37"/>
      <c r="AR913" s="37"/>
      <c r="AS913" s="37"/>
      <c r="AT913" s="37"/>
      <c r="AU913" s="37"/>
      <c r="AV913" s="37"/>
      <c r="AW913" s="34" t="s">
        <v>1595</v>
      </c>
      <c r="AX913" s="177">
        <v>10</v>
      </c>
      <c r="AY913" s="1144">
        <f>IF(AD971&gt;0,0.1,0)</f>
        <v>0</v>
      </c>
      <c r="AZ913" s="1146"/>
      <c r="BA913" s="290"/>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3.3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97"/>
      <c r="AM914" s="37"/>
      <c r="AN914" s="37"/>
      <c r="AO914" s="37"/>
      <c r="AP914" s="37"/>
      <c r="AQ914" s="37"/>
      <c r="AR914" s="37"/>
      <c r="AS914" s="37"/>
      <c r="AT914" s="37"/>
      <c r="AU914" s="37"/>
      <c r="AV914" s="37"/>
      <c r="AW914" s="34"/>
      <c r="AX914" s="177"/>
      <c r="AY914" s="1261">
        <f>SUM(AY905:AY913)</f>
        <v>0</v>
      </c>
      <c r="AZ914" s="1262"/>
      <c r="BA914" s="21" t="s">
        <v>1596</v>
      </c>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3.35" customHeight="1">
      <c r="F915" s="8" t="s">
        <v>1597</v>
      </c>
      <c r="G915" s="9"/>
      <c r="H915" s="9"/>
      <c r="I915" s="9"/>
      <c r="J915" s="9"/>
      <c r="K915" s="9"/>
      <c r="L915" s="45"/>
      <c r="M915" s="1104"/>
      <c r="N915" s="1074"/>
      <c r="O915" s="1074"/>
      <c r="P915" s="1074"/>
      <c r="Q915" s="1074"/>
      <c r="R915" s="1074"/>
      <c r="S915" s="1105"/>
      <c r="T915" s="180" t="s">
        <v>1598</v>
      </c>
      <c r="U915" s="9"/>
      <c r="V915" s="9"/>
      <c r="W915" s="9"/>
      <c r="X915" s="9"/>
      <c r="Y915" s="9"/>
      <c r="Z915" s="45"/>
      <c r="AA915" s="1104"/>
      <c r="AB915" s="1074"/>
      <c r="AC915" s="1074"/>
      <c r="AD915" s="1074"/>
      <c r="AE915" s="1074"/>
      <c r="AF915" s="1074"/>
      <c r="AG915" s="1105"/>
      <c r="AL915" s="897"/>
      <c r="AM915" s="37"/>
      <c r="AN915" s="37"/>
      <c r="AO915" s="37"/>
      <c r="AP915" s="37"/>
      <c r="AQ915" s="37"/>
      <c r="AR915" s="37"/>
      <c r="AS915" s="37"/>
      <c r="AT915" s="37"/>
      <c r="AU915" s="37"/>
      <c r="AV915" s="37"/>
      <c r="AX915" s="177"/>
      <c r="BA915" s="21"/>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3.35" customHeight="1">
      <c r="F916" s="8" t="s">
        <v>1599</v>
      </c>
      <c r="G916" s="9"/>
      <c r="H916" s="9"/>
      <c r="I916" s="9"/>
      <c r="J916" s="9"/>
      <c r="K916" s="9"/>
      <c r="L916" s="45"/>
      <c r="M916" s="1104"/>
      <c r="N916" s="1074"/>
      <c r="O916" s="1074"/>
      <c r="P916" s="1074"/>
      <c r="Q916" s="1074"/>
      <c r="R916" s="1074"/>
      <c r="S916" s="1105"/>
      <c r="T916" s="180" t="s">
        <v>1600</v>
      </c>
      <c r="U916" s="9"/>
      <c r="V916" s="9"/>
      <c r="W916" s="9"/>
      <c r="X916" s="9"/>
      <c r="Y916" s="9"/>
      <c r="Z916" s="45"/>
      <c r="AA916" s="1104"/>
      <c r="AB916" s="1074"/>
      <c r="AC916" s="1074"/>
      <c r="AD916" s="1074"/>
      <c r="AE916" s="1074"/>
      <c r="AF916" s="1074"/>
      <c r="AG916" s="1105"/>
      <c r="AL916" s="897"/>
      <c r="AM916" s="37"/>
      <c r="AN916" s="37"/>
      <c r="AO916" s="37"/>
      <c r="AP916" s="37"/>
      <c r="AQ916" s="37"/>
      <c r="AR916" s="37"/>
      <c r="AS916" s="37"/>
      <c r="AT916" s="37"/>
      <c r="AU916" s="37"/>
      <c r="AV916" s="37"/>
      <c r="AW916" s="34"/>
      <c r="AX916" s="34"/>
      <c r="AY916" s="1261">
        <f>SUM(AY905:AZ909)+AY913</f>
        <v>0</v>
      </c>
      <c r="AZ916" s="1262"/>
      <c r="BA916" s="1252">
        <v>0.39</v>
      </c>
      <c r="BB916" s="1253"/>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3.35" customHeight="1">
      <c r="F917" s="180" t="s">
        <v>1601</v>
      </c>
      <c r="G917" s="9"/>
      <c r="H917" s="9"/>
      <c r="I917" s="9"/>
      <c r="J917" s="9"/>
      <c r="K917" s="9"/>
      <c r="L917" s="45"/>
      <c r="M917" s="1120"/>
      <c r="N917" s="1045"/>
      <c r="O917" s="1045"/>
      <c r="P917" s="1045"/>
      <c r="Q917" s="1045"/>
      <c r="R917" s="1045"/>
      <c r="S917" s="1121"/>
      <c r="T917" s="8" t="s">
        <v>1602</v>
      </c>
      <c r="U917" s="9"/>
      <c r="V917" s="9"/>
      <c r="W917" s="9"/>
      <c r="X917" s="9"/>
      <c r="Y917" s="9"/>
      <c r="Z917" s="45"/>
      <c r="AA917" s="1104"/>
      <c r="AB917" s="1074"/>
      <c r="AC917" s="1074"/>
      <c r="AD917" s="1074"/>
      <c r="AE917" s="1074"/>
      <c r="AF917" s="1074"/>
      <c r="AG917" s="1105"/>
      <c r="AL917" s="897"/>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3.35" customHeight="1">
      <c r="F918" s="8" t="s">
        <v>1603</v>
      </c>
      <c r="G918" s="9"/>
      <c r="H918" s="9"/>
      <c r="I918" s="9"/>
      <c r="J918" s="9"/>
      <c r="K918" s="9"/>
      <c r="L918" s="45"/>
      <c r="M918" s="1104"/>
      <c r="N918" s="1074"/>
      <c r="O918" s="1074"/>
      <c r="P918" s="1074"/>
      <c r="Q918" s="1074"/>
      <c r="R918" s="1074"/>
      <c r="S918" s="1105"/>
      <c r="T918" s="8" t="s">
        <v>1604</v>
      </c>
      <c r="U918" s="9"/>
      <c r="V918" s="9"/>
      <c r="W918" s="9"/>
      <c r="X918" s="9"/>
      <c r="Y918" s="9"/>
      <c r="Z918" s="45"/>
      <c r="AA918" s="1104"/>
      <c r="AB918" s="1074"/>
      <c r="AC918" s="1074"/>
      <c r="AD918" s="1074"/>
      <c r="AE918" s="1074"/>
      <c r="AF918" s="1074"/>
      <c r="AG918" s="1105"/>
      <c r="AL918" s="897"/>
      <c r="AM918" s="37"/>
      <c r="AN918" s="37"/>
      <c r="AO918" s="37"/>
      <c r="AP918" s="37"/>
      <c r="AQ918" s="37"/>
      <c r="AR918" s="37"/>
      <c r="AS918" s="37"/>
      <c r="AT918" s="37"/>
      <c r="AU918" s="37"/>
      <c r="AV918" s="37"/>
      <c r="AW918" s="37"/>
      <c r="AX918" s="37"/>
      <c r="AY918" s="898">
        <f>IF(SUM(BA931:BA939)&lt;=0.1,SUM(BA931:BA939),0.1)</f>
        <v>0</v>
      </c>
      <c r="AZ918" s="37"/>
      <c r="BA918" s="37" t="s">
        <v>1605</v>
      </c>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3.35" customHeight="1">
      <c r="F919" s="8" t="s">
        <v>1606</v>
      </c>
      <c r="G919" s="9"/>
      <c r="H919" s="9"/>
      <c r="I919" s="9"/>
      <c r="J919" s="9"/>
      <c r="K919" s="9"/>
      <c r="L919" s="45"/>
      <c r="M919" s="1104"/>
      <c r="N919" s="1074"/>
      <c r="O919" s="1074"/>
      <c r="P919" s="1074"/>
      <c r="Q919" s="1074"/>
      <c r="R919" s="1074"/>
      <c r="S919" s="1105"/>
      <c r="T919" s="8" t="s">
        <v>1607</v>
      </c>
      <c r="U919" s="9"/>
      <c r="V919" s="9"/>
      <c r="W919" s="9"/>
      <c r="X919" s="9"/>
      <c r="Y919" s="9"/>
      <c r="Z919" s="45"/>
      <c r="AA919" s="1104"/>
      <c r="AB919" s="1074"/>
      <c r="AC919" s="1074"/>
      <c r="AD919" s="1074"/>
      <c r="AE919" s="1074"/>
      <c r="AF919" s="1074"/>
      <c r="AG919" s="1105"/>
      <c r="AL919" s="897"/>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3.35" customHeight="1">
      <c r="F920" s="899" t="s">
        <v>1580</v>
      </c>
      <c r="G920" s="7"/>
      <c r="H920" s="7"/>
      <c r="I920" s="7"/>
      <c r="J920" s="7"/>
      <c r="K920" s="7"/>
      <c r="L920" s="57"/>
      <c r="M920" s="1124" t="s">
        <v>320</v>
      </c>
      <c r="N920" s="1125"/>
      <c r="O920" s="1125"/>
      <c r="P920" s="1125"/>
      <c r="Q920" s="1125"/>
      <c r="R920" s="1125"/>
      <c r="S920" s="1126"/>
      <c r="T920" s="1267"/>
      <c r="U920" s="1268"/>
      <c r="V920" s="1268"/>
      <c r="W920" s="1268"/>
      <c r="X920" s="1268"/>
      <c r="Y920" s="1268"/>
      <c r="Z920" s="1269"/>
      <c r="AA920" s="1104"/>
      <c r="AB920" s="1074"/>
      <c r="AC920" s="1074"/>
      <c r="AD920" s="1074"/>
      <c r="AE920" s="1074"/>
      <c r="AF920" s="1074"/>
      <c r="AG920" s="1105"/>
      <c r="AL920" s="897"/>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3.35" customHeight="1">
      <c r="F921" s="6" t="s">
        <v>1608</v>
      </c>
      <c r="G921" s="7"/>
      <c r="H921" s="7"/>
      <c r="I921" s="7"/>
      <c r="J921" s="7"/>
      <c r="K921" s="7"/>
      <c r="L921" s="57"/>
      <c r="M921" s="1104"/>
      <c r="N921" s="1074"/>
      <c r="O921" s="1074"/>
      <c r="P921" s="1074"/>
      <c r="Q921" s="1074"/>
      <c r="R921" s="1074"/>
      <c r="S921" s="1105"/>
      <c r="T921" s="1267"/>
      <c r="U921" s="1268"/>
      <c r="V921" s="1268"/>
      <c r="W921" s="1268"/>
      <c r="X921" s="1268"/>
      <c r="Y921" s="1268"/>
      <c r="Z921" s="1269"/>
      <c r="AA921" s="1104"/>
      <c r="AB921" s="1074"/>
      <c r="AC921" s="1074"/>
      <c r="AD921" s="1074"/>
      <c r="AE921" s="1074"/>
      <c r="AF921" s="1074"/>
      <c r="AG921" s="1105"/>
      <c r="AL921" s="897"/>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3.35" customHeight="1">
      <c r="F922" s="6" t="s">
        <v>1609</v>
      </c>
      <c r="G922" s="7"/>
      <c r="H922" s="7"/>
      <c r="I922" s="7"/>
      <c r="J922" s="7"/>
      <c r="K922" s="7"/>
      <c r="L922" s="7"/>
      <c r="M922" s="7"/>
      <c r="N922" s="7"/>
      <c r="O922" s="1120" t="s">
        <v>712</v>
      </c>
      <c r="P922" s="1121"/>
      <c r="Q922" s="124"/>
      <c r="R922" s="124"/>
      <c r="S922" s="125"/>
      <c r="T922" s="6" t="s">
        <v>1233</v>
      </c>
      <c r="U922" s="7"/>
      <c r="V922" s="7"/>
      <c r="W922" s="1263" t="s">
        <v>1317</v>
      </c>
      <c r="X922" s="1264"/>
      <c r="Y922" s="1264"/>
      <c r="Z922" s="1264"/>
      <c r="AA922" s="1264"/>
      <c r="AB922" s="1264"/>
      <c r="AC922" s="1264"/>
      <c r="AD922" s="1264"/>
      <c r="AE922" s="1264"/>
      <c r="AF922" s="1264"/>
      <c r="AG922" s="1265"/>
      <c r="AL922" s="897"/>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3.35" customHeight="1">
      <c r="F923" s="1273" t="s">
        <v>1610</v>
      </c>
      <c r="G923" s="1236"/>
      <c r="H923" s="1236"/>
      <c r="I923" s="1236"/>
      <c r="J923" s="1236"/>
      <c r="K923" s="1236"/>
      <c r="L923" s="1236"/>
      <c r="M923" s="1104"/>
      <c r="N923" s="1074"/>
      <c r="O923" s="1074"/>
      <c r="P923" s="1074"/>
      <c r="Q923" s="1074"/>
      <c r="R923" s="1074"/>
      <c r="S923" s="1105"/>
      <c r="T923" s="46"/>
      <c r="U923" s="47"/>
      <c r="V923" s="47"/>
      <c r="W923" s="47"/>
      <c r="X923" s="47"/>
      <c r="Y923" s="47"/>
      <c r="Z923" s="192" t="s">
        <v>1611</v>
      </c>
      <c r="AA923" s="1162"/>
      <c r="AB923" s="1234"/>
      <c r="AC923" s="1234"/>
      <c r="AD923" s="1234"/>
      <c r="AE923" s="1234"/>
      <c r="AF923" s="1234"/>
      <c r="AG923" s="1266"/>
      <c r="AL923" s="897"/>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3.35" customHeight="1">
      <c r="AL924" s="897"/>
      <c r="AM924" s="37"/>
      <c r="AN924" s="37"/>
      <c r="AO924" s="37"/>
      <c r="AP924" s="37"/>
      <c r="AQ924" s="37"/>
      <c r="AR924" s="37"/>
      <c r="AS924" s="37"/>
      <c r="AT924" s="37"/>
      <c r="AU924" s="37"/>
      <c r="AV924" s="37"/>
      <c r="AW924" s="37"/>
      <c r="AX924" s="37"/>
      <c r="AY924" s="37"/>
      <c r="AZ924" s="37"/>
      <c r="BA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3.35" customHeight="1">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3.35" customHeight="1">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3.35" customHeight="1">
      <c r="A927" s="1103" t="s">
        <v>1612</v>
      </c>
      <c r="B927" s="1103"/>
      <c r="C927" s="1103"/>
      <c r="D927" s="1103"/>
      <c r="E927" s="1103"/>
      <c r="F927" s="1103"/>
      <c r="G927" s="1103"/>
      <c r="H927" s="1103"/>
      <c r="I927" s="1103"/>
      <c r="J927" s="1103"/>
      <c r="K927" s="1103"/>
      <c r="L927" s="1103"/>
      <c r="M927" s="1103"/>
      <c r="N927" s="1103"/>
      <c r="O927" s="1103"/>
      <c r="P927" s="1103"/>
      <c r="Q927" s="1103"/>
      <c r="R927" s="1103"/>
      <c r="S927" s="1103"/>
      <c r="T927" s="1103"/>
      <c r="U927" s="1103"/>
      <c r="V927" s="1103"/>
      <c r="W927" s="1103"/>
      <c r="X927" s="1103"/>
      <c r="Y927" s="1103"/>
      <c r="Z927" s="1103"/>
      <c r="AA927" s="1103"/>
      <c r="AB927" s="1103"/>
      <c r="AC927" s="1103"/>
      <c r="AD927" s="1103"/>
      <c r="AE927" s="1103"/>
      <c r="AF927" s="1103"/>
      <c r="AG927" s="1103"/>
      <c r="AH927" s="1103"/>
      <c r="AI927" s="1103"/>
      <c r="AJ927" s="1103"/>
      <c r="AK927" s="1103"/>
      <c r="AL927" s="1103"/>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3.35" customHeight="1">
      <c r="A928" s="1103"/>
      <c r="B928" s="1103"/>
      <c r="C928" s="1103"/>
      <c r="D928" s="1103"/>
      <c r="E928" s="1103"/>
      <c r="F928" s="1103"/>
      <c r="G928" s="1103"/>
      <c r="H928" s="1103"/>
      <c r="I928" s="1103"/>
      <c r="J928" s="1103"/>
      <c r="K928" s="1103"/>
      <c r="L928" s="1103"/>
      <c r="M928" s="1103"/>
      <c r="N928" s="1103"/>
      <c r="O928" s="1103"/>
      <c r="P928" s="1103"/>
      <c r="Q928" s="1103"/>
      <c r="R928" s="1103"/>
      <c r="S928" s="1103"/>
      <c r="T928" s="1103"/>
      <c r="U928" s="1103"/>
      <c r="V928" s="1103"/>
      <c r="W928" s="1103"/>
      <c r="X928" s="1103"/>
      <c r="Y928" s="1103"/>
      <c r="Z928" s="1103"/>
      <c r="AA928" s="1103"/>
      <c r="AB928" s="1103"/>
      <c r="AC928" s="1103"/>
      <c r="AD928" s="1103"/>
      <c r="AE928" s="1103"/>
      <c r="AF928" s="1103"/>
      <c r="AG928" s="1103"/>
      <c r="AH928" s="1103"/>
      <c r="AI928" s="1103"/>
      <c r="AJ928" s="1103"/>
      <c r="AK928" s="1103"/>
      <c r="AL928" s="1103"/>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3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35" customHeight="1">
      <c r="A930" s="3" t="s">
        <v>854</v>
      </c>
      <c r="C930" s="3" t="s">
        <v>248</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897"/>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3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897"/>
      <c r="AM931" s="37"/>
      <c r="AO931" s="37"/>
      <c r="AP931" s="37"/>
      <c r="AQ931" s="37"/>
      <c r="AR931" s="37"/>
      <c r="AS931" s="37"/>
      <c r="AT931" s="37"/>
      <c r="AU931" s="37"/>
      <c r="AV931" s="37"/>
      <c r="AW931" s="37"/>
      <c r="AX931" s="37"/>
      <c r="AY931" s="37"/>
      <c r="AZ931" s="37"/>
      <c r="BA931" s="390">
        <f>IF(A1004="Yes",0.05,0)</f>
        <v>0</v>
      </c>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35" customHeight="1">
      <c r="A932" s="21"/>
      <c r="B932" s="68"/>
      <c r="C932" s="765"/>
      <c r="D932" s="1151" t="s">
        <v>1613</v>
      </c>
      <c r="E932" s="1152"/>
      <c r="F932" s="1152"/>
      <c r="G932" s="1152"/>
      <c r="H932" s="1152"/>
      <c r="I932" s="1152"/>
      <c r="J932" s="1152"/>
      <c r="K932" s="1152"/>
      <c r="L932" s="1152"/>
      <c r="M932" s="1152"/>
      <c r="N932" s="1152"/>
      <c r="O932" s="1152"/>
      <c r="P932" s="1152"/>
      <c r="Q932" s="1153"/>
      <c r="R932" s="1151" t="s">
        <v>1614</v>
      </c>
      <c r="S932" s="1152"/>
      <c r="T932" s="1152"/>
      <c r="U932" s="1152"/>
      <c r="V932" s="1152"/>
      <c r="W932" s="1152"/>
      <c r="X932" s="1152"/>
      <c r="Y932" s="1152"/>
      <c r="Z932" s="1152"/>
      <c r="AA932" s="1153"/>
      <c r="AB932" s="1151" t="s">
        <v>1615</v>
      </c>
      <c r="AC932" s="1152"/>
      <c r="AD932" s="1152"/>
      <c r="AE932" s="1152"/>
      <c r="AF932" s="1152"/>
      <c r="AG932" s="1152"/>
      <c r="AH932" s="1152"/>
      <c r="AI932" s="1153"/>
      <c r="AJ932" s="1151" t="s">
        <v>1616</v>
      </c>
      <c r="AK932" s="1152"/>
      <c r="AL932" s="1152"/>
      <c r="AM932" s="1152"/>
      <c r="AN932" s="1152"/>
      <c r="AO932" s="1152"/>
      <c r="AP932" s="1152"/>
      <c r="AQ932" s="1153"/>
      <c r="AR932" s="37"/>
      <c r="AS932" s="37"/>
      <c r="AT932" s="37"/>
      <c r="AU932" s="37"/>
      <c r="AV932" s="37"/>
      <c r="AW932" s="37"/>
      <c r="AX932" s="37"/>
      <c r="AY932" s="37"/>
      <c r="AZ932" s="37"/>
      <c r="BA932" s="390">
        <f>IF(A1010="Yes",0.02,0)</f>
        <v>0</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35" customHeight="1">
      <c r="A933" s="21"/>
      <c r="B933" s="65"/>
      <c r="C933" s="766"/>
      <c r="D933" s="1144" t="s">
        <v>1399</v>
      </c>
      <c r="E933" s="1145"/>
      <c r="F933" s="1145"/>
      <c r="G933" s="1145"/>
      <c r="H933" s="1145"/>
      <c r="I933" s="1145"/>
      <c r="J933" s="1145"/>
      <c r="K933" s="1145"/>
      <c r="L933" s="1145"/>
      <c r="M933" s="1145"/>
      <c r="N933" s="1145"/>
      <c r="O933" s="1145"/>
      <c r="P933" s="1145"/>
      <c r="Q933" s="1146"/>
      <c r="R933" s="1147">
        <f>IF(ISNA(IF($BA$805="4%",(INDEX($BC$819:$BG$876,MATCH($BO$805,$BB$819:$BB$876,0),MATCH(D933,$BC$817:$BG$817,0))),(INDEX($BJ$819:$BN$876,MATCH($BO$805,$BI$819:$BI$876,0),MATCH(D933,$BJ$817:$BN$817,0))))),0,IF($BA$805="4%",(INDEX($BC$819:$BG$876,MATCH($BO$805,$BB$819:$BB$876,0),MATCH(D933,$BC$817:$BG$817,0))),(INDEX($BJ$819:$BN$876,MATCH($BO$805,$BI$819:$BI$876,0),MATCH(D933,$BJ$817:$BN$817,0)))))</f>
        <v>437727</v>
      </c>
      <c r="S933" s="1147"/>
      <c r="T933" s="1147"/>
      <c r="U933" s="1147"/>
      <c r="V933" s="1147"/>
      <c r="W933" s="1147"/>
      <c r="X933" s="1147"/>
      <c r="Y933" s="1147"/>
      <c r="Z933" s="1147"/>
      <c r="AA933" s="1147"/>
      <c r="AB933" s="1255">
        <f>BN638</f>
        <v>43</v>
      </c>
      <c r="AC933" s="1256"/>
      <c r="AD933" s="1256"/>
      <c r="AE933" s="1256"/>
      <c r="AF933" s="1256"/>
      <c r="AG933" s="1256"/>
      <c r="AH933" s="1256"/>
      <c r="AI933" s="1257"/>
      <c r="AJ933" s="1258">
        <f>IF(ISERROR((R933*AB933)),0,(R933*AB933))</f>
        <v>18822261</v>
      </c>
      <c r="AK933" s="1259"/>
      <c r="AL933" s="1259"/>
      <c r="AM933" s="1259"/>
      <c r="AN933" s="1259"/>
      <c r="AO933" s="1259"/>
      <c r="AP933" s="1259"/>
      <c r="AQ933" s="1260"/>
      <c r="AR933" s="37"/>
      <c r="AS933" s="37"/>
      <c r="AT933" s="37"/>
      <c r="AU933" s="37"/>
      <c r="AV933" s="37"/>
      <c r="AW933" s="37"/>
      <c r="AX933" s="37"/>
      <c r="AY933" s="37"/>
      <c r="AZ933" s="37"/>
      <c r="BA933" s="390">
        <f>IF(A1016="Yes",0.04,0)</f>
        <v>0</v>
      </c>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35" customHeight="1">
      <c r="A934" s="21"/>
      <c r="B934" s="65"/>
      <c r="C934" s="69"/>
      <c r="D934" s="1144" t="s">
        <v>1400</v>
      </c>
      <c r="E934" s="1145"/>
      <c r="F934" s="1145"/>
      <c r="G934" s="1145"/>
      <c r="H934" s="1145"/>
      <c r="I934" s="1145"/>
      <c r="J934" s="1145"/>
      <c r="K934" s="1145"/>
      <c r="L934" s="1145"/>
      <c r="M934" s="1145"/>
      <c r="N934" s="1145"/>
      <c r="O934" s="1145"/>
      <c r="P934" s="1145"/>
      <c r="Q934" s="1146"/>
      <c r="R934" s="1147">
        <f>IF(ISNA(IF($BA$805="4%",(INDEX($BC$819:$BG$876,MATCH($BO$805,$BB$819:$BB$876,0),MATCH(D934,$BC$817:$BG$817,0))),(INDEX($BJ$819:$BN$876,MATCH($BO$805,$BI$819:$BI$876,0),MATCH(D934,$BJ$817:$BN$817,0))))),0,IF($BA$805="4%",(INDEX($BC$819:$BG$876,MATCH($BO$805,$BB$819:$BB$876,0),MATCH(D934,$BC$817:$BG$817,0))),(INDEX($BJ$819:$BN$876,MATCH($BO$805,$BI$819:$BI$876,0),MATCH(D934,$BJ$817:$BN$817,0)))))</f>
        <v>504695</v>
      </c>
      <c r="S934" s="1147"/>
      <c r="T934" s="1147"/>
      <c r="U934" s="1147"/>
      <c r="V934" s="1147"/>
      <c r="W934" s="1147"/>
      <c r="X934" s="1147"/>
      <c r="Y934" s="1147"/>
      <c r="Z934" s="1147"/>
      <c r="AA934" s="1147"/>
      <c r="AB934" s="1255">
        <f>BS638</f>
        <v>0</v>
      </c>
      <c r="AC934" s="1256"/>
      <c r="AD934" s="1256"/>
      <c r="AE934" s="1256"/>
      <c r="AF934" s="1256"/>
      <c r="AG934" s="1256"/>
      <c r="AH934" s="1256"/>
      <c r="AI934" s="1257"/>
      <c r="AJ934" s="1258">
        <f>IF(ISERROR((R934*AB934)),0,(R934*AB934))</f>
        <v>0</v>
      </c>
      <c r="AK934" s="1259"/>
      <c r="AL934" s="1259"/>
      <c r="AM934" s="1259"/>
      <c r="AN934" s="1259"/>
      <c r="AO934" s="1259"/>
      <c r="AP934" s="1259"/>
      <c r="AQ934" s="1260"/>
      <c r="AR934" s="37"/>
      <c r="AS934" s="37"/>
      <c r="AT934" s="37"/>
      <c r="AU934" s="37"/>
      <c r="AV934" s="37"/>
      <c r="AW934" s="37"/>
      <c r="AX934" s="37"/>
      <c r="AY934" s="37"/>
      <c r="AZ934" s="37"/>
      <c r="BA934" s="390">
        <f>IF(A1023="Yes",0.04,0)</f>
        <v>0</v>
      </c>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35" customHeight="1">
      <c r="A935" s="21"/>
      <c r="B935" s="65"/>
      <c r="C935" s="69"/>
      <c r="D935" s="1144" t="s">
        <v>1401</v>
      </c>
      <c r="E935" s="1145"/>
      <c r="F935" s="1145"/>
      <c r="G935" s="1145"/>
      <c r="H935" s="1145"/>
      <c r="I935" s="1145"/>
      <c r="J935" s="1145"/>
      <c r="K935" s="1145"/>
      <c r="L935" s="1145"/>
      <c r="M935" s="1145"/>
      <c r="N935" s="1145"/>
      <c r="O935" s="1145"/>
      <c r="P935" s="1145"/>
      <c r="Q935" s="1146"/>
      <c r="R935" s="1147">
        <f>IF(ISNA(IF($BA$805="4%",(INDEX($BC$819:$BG$876,MATCH($BO$805,$BB$819:$BB$876,0),MATCH(D935,$BC$817:$BG$817,0))),(INDEX($BJ$819:$BN$876,MATCH($BO$805,$BI$819:$BI$876,0),MATCH(D935,$BJ$817:$BN$817,0))))),0,IF($BA$805="4%",(INDEX($BC$819:$BG$876,MATCH($BO$805,$BB$819:$BB$876,0),MATCH(D935,$BC$817:$BG$817,0))),(INDEX($BJ$819:$BN$876,MATCH($BO$805,$BI$819:$BI$876,0),MATCH(D935,$BJ$817:$BN$817,0)))))</f>
        <v>608800</v>
      </c>
      <c r="S935" s="1147"/>
      <c r="T935" s="1147"/>
      <c r="U935" s="1147"/>
      <c r="V935" s="1147"/>
      <c r="W935" s="1147"/>
      <c r="X935" s="1147"/>
      <c r="Y935" s="1147"/>
      <c r="Z935" s="1147"/>
      <c r="AA935" s="1147"/>
      <c r="AB935" s="1255">
        <f>BX638</f>
        <v>1</v>
      </c>
      <c r="AC935" s="1256"/>
      <c r="AD935" s="1256"/>
      <c r="AE935" s="1256"/>
      <c r="AF935" s="1256"/>
      <c r="AG935" s="1256"/>
      <c r="AH935" s="1256"/>
      <c r="AI935" s="1257"/>
      <c r="AJ935" s="1258">
        <f>IF(ISERROR((R935*AB935)),0,(R935*AB935))</f>
        <v>608800</v>
      </c>
      <c r="AK935" s="1259"/>
      <c r="AL935" s="1259"/>
      <c r="AM935" s="1259"/>
      <c r="AN935" s="1259"/>
      <c r="AO935" s="1259"/>
      <c r="AP935" s="1259"/>
      <c r="AQ935" s="1260"/>
      <c r="AR935" s="37"/>
      <c r="AS935" s="37"/>
      <c r="AT935" s="37"/>
      <c r="AU935" s="37"/>
      <c r="AV935" s="37"/>
      <c r="AW935" s="37"/>
      <c r="AX935" s="37"/>
      <c r="AY935" s="37"/>
      <c r="AZ935" s="37"/>
      <c r="BA935" s="390">
        <f>IF(A1026="Yes",0.01,0)</f>
        <v>0</v>
      </c>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35" customHeight="1">
      <c r="A936" s="21"/>
      <c r="B936" s="65"/>
      <c r="C936" s="69"/>
      <c r="D936" s="1144" t="s">
        <v>1402</v>
      </c>
      <c r="E936" s="1145"/>
      <c r="F936" s="1145"/>
      <c r="G936" s="1145"/>
      <c r="H936" s="1145"/>
      <c r="I936" s="1145"/>
      <c r="J936" s="1145"/>
      <c r="K936" s="1145"/>
      <c r="L936" s="1145"/>
      <c r="M936" s="1145"/>
      <c r="N936" s="1145"/>
      <c r="O936" s="1145"/>
      <c r="P936" s="1145"/>
      <c r="Q936" s="1146"/>
      <c r="R936" s="1147">
        <f>IF(ISNA(IF($BA$805="4%",(INDEX($BC$819:$BG$876,MATCH($BO$805,$BB$819:$BB$876,0),MATCH(D936,$BC$817:$BG$817,0))),(INDEX($BJ$819:$BN$876,MATCH($BO$805,$BI$819:$BI$876,0),MATCH(D936,$BJ$817:$BN$817,0))))),0,IF($BA$805="4%",(INDEX($BC$819:$BG$876,MATCH($BO$805,$BB$819:$BB$876,0),MATCH(D936,$BC$817:$BG$817,0))),(INDEX($BJ$819:$BN$876,MATCH($BO$805,$BI$819:$BI$876,0),MATCH(D936,$BJ$817:$BN$817,0)))))</f>
        <v>779264</v>
      </c>
      <c r="S936" s="1147"/>
      <c r="T936" s="1147"/>
      <c r="U936" s="1147"/>
      <c r="V936" s="1147"/>
      <c r="W936" s="1147"/>
      <c r="X936" s="1147"/>
      <c r="Y936" s="1147"/>
      <c r="Z936" s="1147"/>
      <c r="AA936" s="1147"/>
      <c r="AB936" s="1255">
        <f>CC638</f>
        <v>0</v>
      </c>
      <c r="AC936" s="1256"/>
      <c r="AD936" s="1256"/>
      <c r="AE936" s="1256"/>
      <c r="AF936" s="1256"/>
      <c r="AG936" s="1256"/>
      <c r="AH936" s="1256"/>
      <c r="AI936" s="1257"/>
      <c r="AJ936" s="1258">
        <f>IF(ISERROR((R936*AB936)),0,(R936*AB936))</f>
        <v>0</v>
      </c>
      <c r="AK936" s="1259"/>
      <c r="AL936" s="1259"/>
      <c r="AM936" s="1259"/>
      <c r="AN936" s="1259"/>
      <c r="AO936" s="1259"/>
      <c r="AP936" s="1259"/>
      <c r="AQ936" s="1260"/>
      <c r="AR936" s="37"/>
      <c r="AS936" s="37"/>
      <c r="AT936" s="37"/>
      <c r="AU936" s="37"/>
      <c r="AV936" s="37"/>
      <c r="AW936" s="37"/>
      <c r="AX936" s="37"/>
      <c r="AY936" s="37"/>
      <c r="AZ936" s="37"/>
      <c r="BA936" s="390">
        <f>IF(A1031="Yes",0.01,0)</f>
        <v>0</v>
      </c>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35" customHeight="1">
      <c r="A937" s="21"/>
      <c r="B937" s="46"/>
      <c r="C937" s="67"/>
      <c r="D937" s="1144" t="s">
        <v>1403</v>
      </c>
      <c r="E937" s="1145"/>
      <c r="F937" s="1145"/>
      <c r="G937" s="1145"/>
      <c r="H937" s="1145"/>
      <c r="I937" s="1145"/>
      <c r="J937" s="1145"/>
      <c r="K937" s="1145"/>
      <c r="L937" s="1145"/>
      <c r="M937" s="1145"/>
      <c r="N937" s="1145"/>
      <c r="O937" s="1145"/>
      <c r="P937" s="1145"/>
      <c r="Q937" s="1146"/>
      <c r="R937" s="1147">
        <f>IF(ISNA(IF($BA$805="4%",(INDEX($BC$819:$BG$876,MATCH($BO$805,$BB$819:$BB$876,0),MATCH(D937,$BC$817:$BG$817,0))),(INDEX($BJ$819:$BN$876,MATCH($BO$805,$BI$819:$BI$876,0),MATCH(D937,$BJ$817:$BN$817,0))))),0,IF($BA$805="4%",(INDEX($BC$819:$BG$876,MATCH($BO$805,$BB$819:$BB$876,0),MATCH(D937,$BC$817:$BG$817,0))),(INDEX($BJ$819:$BN$876,MATCH($BO$805,$BI$819:$BI$876,0),MATCH(D937,$BJ$817:$BN$817,0)))))</f>
        <v>868149</v>
      </c>
      <c r="S937" s="1147"/>
      <c r="T937" s="1147"/>
      <c r="U937" s="1147"/>
      <c r="V937" s="1147"/>
      <c r="W937" s="1147"/>
      <c r="X937" s="1147"/>
      <c r="Y937" s="1147"/>
      <c r="Z937" s="1147"/>
      <c r="AA937" s="1147"/>
      <c r="AB937" s="1255">
        <f>CM638+CH638</f>
        <v>0</v>
      </c>
      <c r="AC937" s="1256"/>
      <c r="AD937" s="1256"/>
      <c r="AE937" s="1256"/>
      <c r="AF937" s="1256"/>
      <c r="AG937" s="1256"/>
      <c r="AH937" s="1256"/>
      <c r="AI937" s="1257"/>
      <c r="AJ937" s="1258">
        <f>IF(ISERROR((R937*AB937)),0,(R937*AB937))</f>
        <v>0</v>
      </c>
      <c r="AK937" s="1259"/>
      <c r="AL937" s="1259"/>
      <c r="AM937" s="1259"/>
      <c r="AN937" s="1259"/>
      <c r="AO937" s="1259"/>
      <c r="AP937" s="1259"/>
      <c r="AQ937" s="1260"/>
      <c r="AR937" s="37"/>
      <c r="AS937" s="37"/>
      <c r="AT937" s="37"/>
      <c r="AU937" s="37"/>
      <c r="AV937" s="37"/>
      <c r="AW937" s="37"/>
      <c r="AX937" s="37"/>
      <c r="AY937" s="37"/>
      <c r="AZ937" s="37"/>
      <c r="BA937" s="390">
        <f>IF(A1034="Yes",0.01,0)</f>
        <v>0</v>
      </c>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35" customHeight="1">
      <c r="A938" s="21"/>
      <c r="B938" s="1487" t="s">
        <v>1617</v>
      </c>
      <c r="C938" s="1488"/>
      <c r="D938" s="1488"/>
      <c r="E938" s="1488"/>
      <c r="F938" s="1488"/>
      <c r="G938" s="1488"/>
      <c r="H938" s="1488"/>
      <c r="I938" s="1488"/>
      <c r="J938" s="1488"/>
      <c r="K938" s="1488"/>
      <c r="L938" s="1488"/>
      <c r="M938" s="1488"/>
      <c r="N938" s="1488"/>
      <c r="O938" s="1488"/>
      <c r="P938" s="1488"/>
      <c r="Q938" s="1488"/>
      <c r="R938" s="1488"/>
      <c r="S938" s="1488"/>
      <c r="T938" s="1488"/>
      <c r="U938" s="1488"/>
      <c r="V938" s="1488"/>
      <c r="W938" s="1488"/>
      <c r="X938" s="1488"/>
      <c r="Y938" s="1488"/>
      <c r="Z938" s="1488"/>
      <c r="AA938" s="1489"/>
      <c r="AB938" s="1255">
        <f>SUM(AB933:AI937)</f>
        <v>44</v>
      </c>
      <c r="AC938" s="1256"/>
      <c r="AD938" s="1256"/>
      <c r="AE938" s="1256"/>
      <c r="AF938" s="1256"/>
      <c r="AG938" s="1256"/>
      <c r="AH938" s="1256"/>
      <c r="AI938" s="1257"/>
      <c r="AJ938" s="1258"/>
      <c r="AK938" s="1259"/>
      <c r="AL938" s="1259"/>
      <c r="AM938" s="1259"/>
      <c r="AN938" s="1259"/>
      <c r="AO938" s="1259"/>
      <c r="AP938" s="1259"/>
      <c r="AQ938" s="1260"/>
      <c r="AR938" s="37"/>
      <c r="AS938" s="37"/>
      <c r="AT938" s="37"/>
      <c r="AU938" s="37"/>
      <c r="AV938" s="37"/>
      <c r="AW938" s="37"/>
      <c r="AX938" s="37"/>
      <c r="AY938" s="37"/>
      <c r="AZ938" s="37"/>
      <c r="BA938" s="390">
        <f>IF(A1038="Yes",0.02,0)</f>
        <v>0</v>
      </c>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35" customHeight="1">
      <c r="A939" s="21"/>
      <c r="B939" s="1490" t="s">
        <v>1618</v>
      </c>
      <c r="C939" s="1491"/>
      <c r="D939" s="1491"/>
      <c r="E939" s="1491"/>
      <c r="F939" s="1491"/>
      <c r="G939" s="1491"/>
      <c r="H939" s="1491"/>
      <c r="I939" s="1491"/>
      <c r="J939" s="1491"/>
      <c r="K939" s="1491"/>
      <c r="L939" s="1491"/>
      <c r="M939" s="1491"/>
      <c r="N939" s="1491"/>
      <c r="O939" s="1491"/>
      <c r="P939" s="1491"/>
      <c r="Q939" s="1491"/>
      <c r="R939" s="1491"/>
      <c r="S939" s="1491"/>
      <c r="T939" s="1491"/>
      <c r="U939" s="1491"/>
      <c r="V939" s="1491"/>
      <c r="W939" s="1491"/>
      <c r="X939" s="1491"/>
      <c r="Y939" s="1491"/>
      <c r="Z939" s="1491"/>
      <c r="AA939" s="1491"/>
      <c r="AB939" s="1491"/>
      <c r="AC939" s="1491"/>
      <c r="AD939" s="1491"/>
      <c r="AE939" s="1491"/>
      <c r="AF939" s="1491"/>
      <c r="AG939" s="1491"/>
      <c r="AH939" s="1491"/>
      <c r="AI939" s="1492"/>
      <c r="AJ939" s="1258">
        <f>SUM(AJ933:AQ937)</f>
        <v>19431061</v>
      </c>
      <c r="AK939" s="1259"/>
      <c r="AL939" s="1259"/>
      <c r="AM939" s="1259"/>
      <c r="AN939" s="1259"/>
      <c r="AO939" s="1259"/>
      <c r="AP939" s="1259"/>
      <c r="AQ939" s="1260"/>
      <c r="AR939" s="37"/>
      <c r="AS939" s="37"/>
      <c r="AT939" s="37"/>
      <c r="AU939" s="37"/>
      <c r="AV939" s="37"/>
      <c r="AW939" s="37"/>
      <c r="AX939" s="37"/>
      <c r="AY939" s="37"/>
      <c r="AZ939" s="37"/>
      <c r="BA939" s="391">
        <f>IF(A1042="Yes",0.02,0)</f>
        <v>0</v>
      </c>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35" customHeight="1">
      <c r="A940" s="21"/>
      <c r="B940" s="1493"/>
      <c r="C940" s="1494"/>
      <c r="D940" s="1494"/>
      <c r="E940" s="1494"/>
      <c r="F940" s="1494"/>
      <c r="G940" s="1494"/>
      <c r="H940" s="1494"/>
      <c r="I940" s="1494"/>
      <c r="J940" s="1494"/>
      <c r="K940" s="1494"/>
      <c r="L940" s="1494"/>
      <c r="M940" s="1494"/>
      <c r="N940" s="1494"/>
      <c r="O940" s="1494"/>
      <c r="P940" s="1494"/>
      <c r="Q940" s="1494"/>
      <c r="R940" s="1494"/>
      <c r="S940" s="1494"/>
      <c r="T940" s="1494"/>
      <c r="U940" s="1494"/>
      <c r="V940" s="1494"/>
      <c r="W940" s="1494"/>
      <c r="X940" s="1494"/>
      <c r="Y940" s="1494"/>
      <c r="Z940" s="1494"/>
      <c r="AA940" s="1494"/>
      <c r="AB940" s="1494"/>
      <c r="AC940" s="1494"/>
      <c r="AD940" s="1494"/>
      <c r="AE940" s="1495"/>
      <c r="AF940" s="1496" t="s">
        <v>1619</v>
      </c>
      <c r="AG940" s="1497"/>
      <c r="AH940" s="1497"/>
      <c r="AI940" s="1498"/>
      <c r="AJ940" s="1493"/>
      <c r="AK940" s="1494"/>
      <c r="AL940" s="1494"/>
      <c r="AM940" s="1494"/>
      <c r="AN940" s="1494"/>
      <c r="AO940" s="1494"/>
      <c r="AP940" s="1494"/>
      <c r="AQ940" s="1495"/>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35" customHeight="1">
      <c r="A941" s="21"/>
      <c r="B941" s="65"/>
      <c r="C941" s="767" t="s">
        <v>1620</v>
      </c>
      <c r="D941" s="1314" t="s">
        <v>1621</v>
      </c>
      <c r="E941" s="1315"/>
      <c r="F941" s="1315"/>
      <c r="G941" s="1315"/>
      <c r="H941" s="1315"/>
      <c r="I941" s="1315"/>
      <c r="J941" s="1315"/>
      <c r="K941" s="1315"/>
      <c r="L941" s="1315"/>
      <c r="M941" s="1315"/>
      <c r="N941" s="1315"/>
      <c r="O941" s="1315"/>
      <c r="P941" s="1315"/>
      <c r="Q941" s="1315"/>
      <c r="R941" s="1315"/>
      <c r="S941" s="1315"/>
      <c r="T941" s="1315"/>
      <c r="U941" s="1315"/>
      <c r="V941" s="1315"/>
      <c r="W941" s="1315"/>
      <c r="X941" s="1315"/>
      <c r="Y941" s="1315"/>
      <c r="Z941" s="1315"/>
      <c r="AA941" s="1315"/>
      <c r="AB941" s="1315"/>
      <c r="AC941" s="1315"/>
      <c r="AD941" s="1315"/>
      <c r="AE941" s="1316"/>
      <c r="AF941" s="68"/>
      <c r="AG941" s="1485" t="s">
        <v>826</v>
      </c>
      <c r="AH941" s="1486"/>
      <c r="AI941" s="71"/>
      <c r="AJ941" s="1291">
        <f>ROUND(IF(AND(AG941="yes",D943&lt;&gt;""),AJ939*0.2,0),0)</f>
        <v>3886212</v>
      </c>
      <c r="AK941" s="1292"/>
      <c r="AL941" s="1292"/>
      <c r="AM941" s="1292"/>
      <c r="AN941" s="1292"/>
      <c r="AO941" s="1292"/>
      <c r="AP941" s="1292"/>
      <c r="AQ941" s="1293"/>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35" customHeight="1">
      <c r="A942" s="21"/>
      <c r="B942" s="768"/>
      <c r="C942" s="769"/>
      <c r="D942" s="1138" t="s">
        <v>1622</v>
      </c>
      <c r="E942" s="1139"/>
      <c r="F942" s="1139"/>
      <c r="G942" s="1139"/>
      <c r="H942" s="1139"/>
      <c r="I942" s="1139"/>
      <c r="J942" s="1139"/>
      <c r="K942" s="1139"/>
      <c r="L942" s="1139"/>
      <c r="M942" s="1139"/>
      <c r="N942" s="1139"/>
      <c r="O942" s="1139"/>
      <c r="P942" s="1139"/>
      <c r="Q942" s="1139"/>
      <c r="R942" s="1139"/>
      <c r="S942" s="1139"/>
      <c r="T942" s="1139"/>
      <c r="U942" s="1139"/>
      <c r="V942" s="1139"/>
      <c r="W942" s="1139"/>
      <c r="X942" s="1139"/>
      <c r="Y942" s="1139"/>
      <c r="Z942" s="1139"/>
      <c r="AA942" s="1139"/>
      <c r="AB942" s="1139"/>
      <c r="AC942" s="1139"/>
      <c r="AD942" s="1139"/>
      <c r="AE942" s="1140"/>
      <c r="AF942" s="65"/>
      <c r="AG942" s="21"/>
      <c r="AH942" s="21"/>
      <c r="AI942" s="69"/>
      <c r="AJ942" s="1297"/>
      <c r="AK942" s="1298"/>
      <c r="AL942" s="1298"/>
      <c r="AM942" s="1298"/>
      <c r="AN942" s="1298"/>
      <c r="AO942" s="1298"/>
      <c r="AP942" s="1298"/>
      <c r="AQ942" s="1299"/>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35" customHeight="1">
      <c r="A943" s="21"/>
      <c r="B943" s="768"/>
      <c r="C943" s="769"/>
      <c r="D943" s="1306" t="s">
        <v>2533</v>
      </c>
      <c r="E943" s="1307"/>
      <c r="F943" s="1307"/>
      <c r="G943" s="1307"/>
      <c r="H943" s="1307"/>
      <c r="I943" s="1307"/>
      <c r="J943" s="1307"/>
      <c r="K943" s="1307"/>
      <c r="L943" s="1307"/>
      <c r="M943" s="1307"/>
      <c r="N943" s="1307"/>
      <c r="O943" s="1307"/>
      <c r="P943" s="1307"/>
      <c r="Q943" s="1307"/>
      <c r="R943" s="1307"/>
      <c r="S943" s="1307"/>
      <c r="T943" s="1307"/>
      <c r="U943" s="1307"/>
      <c r="V943" s="1307"/>
      <c r="W943" s="1307"/>
      <c r="X943" s="1307"/>
      <c r="Y943" s="1307"/>
      <c r="Z943" s="1307"/>
      <c r="AA943" s="1307"/>
      <c r="AB943" s="1307"/>
      <c r="AC943" s="1307"/>
      <c r="AD943" s="1307"/>
      <c r="AE943" s="1308"/>
      <c r="AF943" s="66"/>
      <c r="AG943" s="11"/>
      <c r="AH943" s="11"/>
      <c r="AI943" s="67"/>
      <c r="AJ943" s="1294"/>
      <c r="AK943" s="1295"/>
      <c r="AL943" s="1295"/>
      <c r="AM943" s="1295"/>
      <c r="AN943" s="1295"/>
      <c r="AO943" s="1295"/>
      <c r="AP943" s="1295"/>
      <c r="AQ943" s="1296"/>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35" customHeight="1">
      <c r="A944" s="21"/>
      <c r="B944" s="770"/>
      <c r="C944" s="771"/>
      <c r="D944" s="1287" t="s">
        <v>1623</v>
      </c>
      <c r="E944" s="1095"/>
      <c r="F944" s="1095"/>
      <c r="G944" s="1095"/>
      <c r="H944" s="1095"/>
      <c r="I944" s="1095"/>
      <c r="J944" s="1095"/>
      <c r="K944" s="1095"/>
      <c r="L944" s="1095"/>
      <c r="M944" s="1095"/>
      <c r="N944" s="1095"/>
      <c r="O944" s="1095"/>
      <c r="P944" s="1095"/>
      <c r="Q944" s="1095"/>
      <c r="R944" s="1095"/>
      <c r="S944" s="1095"/>
      <c r="T944" s="1095"/>
      <c r="U944" s="1095"/>
      <c r="V944" s="1095"/>
      <c r="W944" s="1095"/>
      <c r="X944" s="1095"/>
      <c r="Y944" s="1095"/>
      <c r="Z944" s="1095"/>
      <c r="AA944" s="1095"/>
      <c r="AB944" s="1095"/>
      <c r="AC944" s="1095"/>
      <c r="AD944" s="1095"/>
      <c r="AE944" s="1288"/>
      <c r="AF944" s="68"/>
      <c r="AG944" s="1289" t="s">
        <v>712</v>
      </c>
      <c r="AH944" s="1290"/>
      <c r="AI944" s="71"/>
      <c r="AJ944" s="1291">
        <f>ROUND(IF(AG944="yes",AJ939*0.05,0),0)</f>
        <v>0</v>
      </c>
      <c r="AK944" s="1292"/>
      <c r="AL944" s="1292"/>
      <c r="AM944" s="1292"/>
      <c r="AN944" s="1292"/>
      <c r="AO944" s="1292"/>
      <c r="AP944" s="1292"/>
      <c r="AQ944" s="1293"/>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35" customHeight="1">
      <c r="A945" s="21"/>
      <c r="B945" s="768"/>
      <c r="C945" s="772"/>
      <c r="D945" s="1138" t="s">
        <v>1624</v>
      </c>
      <c r="E945" s="1139"/>
      <c r="F945" s="1139"/>
      <c r="G945" s="1139"/>
      <c r="H945" s="1139"/>
      <c r="I945" s="1139"/>
      <c r="J945" s="1139"/>
      <c r="K945" s="1139"/>
      <c r="L945" s="1139"/>
      <c r="M945" s="1139"/>
      <c r="N945" s="1139"/>
      <c r="O945" s="1139"/>
      <c r="P945" s="1139"/>
      <c r="Q945" s="1139"/>
      <c r="R945" s="1139"/>
      <c r="S945" s="1139"/>
      <c r="T945" s="1139"/>
      <c r="U945" s="1139"/>
      <c r="V945" s="1139"/>
      <c r="W945" s="1139"/>
      <c r="X945" s="1139"/>
      <c r="Y945" s="1139"/>
      <c r="Z945" s="1139"/>
      <c r="AA945" s="1139"/>
      <c r="AB945" s="1139"/>
      <c r="AC945" s="1139"/>
      <c r="AD945" s="1139"/>
      <c r="AE945" s="1140"/>
      <c r="AF945" s="65"/>
      <c r="AG945" s="21"/>
      <c r="AH945" s="21"/>
      <c r="AI945" s="69"/>
      <c r="AJ945" s="1297"/>
      <c r="AK945" s="1298"/>
      <c r="AL945" s="1298"/>
      <c r="AM945" s="1298"/>
      <c r="AN945" s="1298"/>
      <c r="AO945" s="1298"/>
      <c r="AP945" s="1298"/>
      <c r="AQ945" s="1299"/>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35" customHeight="1">
      <c r="A946" s="21"/>
      <c r="B946" s="768"/>
      <c r="C946" s="772"/>
      <c r="D946" s="1138"/>
      <c r="E946" s="1139"/>
      <c r="F946" s="1139"/>
      <c r="G946" s="1139"/>
      <c r="H946" s="1139"/>
      <c r="I946" s="1139"/>
      <c r="J946" s="1139"/>
      <c r="K946" s="1139"/>
      <c r="L946" s="1139"/>
      <c r="M946" s="1139"/>
      <c r="N946" s="1139"/>
      <c r="O946" s="1139"/>
      <c r="P946" s="1139"/>
      <c r="Q946" s="1139"/>
      <c r="R946" s="1139"/>
      <c r="S946" s="1139"/>
      <c r="T946" s="1139"/>
      <c r="U946" s="1139"/>
      <c r="V946" s="1139"/>
      <c r="W946" s="1139"/>
      <c r="X946" s="1139"/>
      <c r="Y946" s="1139"/>
      <c r="Z946" s="1139"/>
      <c r="AA946" s="1139"/>
      <c r="AB946" s="1139"/>
      <c r="AC946" s="1139"/>
      <c r="AD946" s="1139"/>
      <c r="AE946" s="1140"/>
      <c r="AF946" s="65"/>
      <c r="AG946" s="21"/>
      <c r="AH946" s="21"/>
      <c r="AI946" s="69"/>
      <c r="AJ946" s="1297"/>
      <c r="AK946" s="1298"/>
      <c r="AL946" s="1298"/>
      <c r="AM946" s="1298"/>
      <c r="AN946" s="1298"/>
      <c r="AO946" s="1298"/>
      <c r="AP946" s="1298"/>
      <c r="AQ946" s="1299"/>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35" customHeight="1">
      <c r="A947" s="21"/>
      <c r="B947" s="768"/>
      <c r="C947" s="772"/>
      <c r="D947" s="1138"/>
      <c r="E947" s="1139"/>
      <c r="F947" s="1139"/>
      <c r="G947" s="1139"/>
      <c r="H947" s="1139"/>
      <c r="I947" s="1139"/>
      <c r="J947" s="1139"/>
      <c r="K947" s="1139"/>
      <c r="L947" s="1139"/>
      <c r="M947" s="1139"/>
      <c r="N947" s="1139"/>
      <c r="O947" s="1139"/>
      <c r="P947" s="1139"/>
      <c r="Q947" s="1139"/>
      <c r="R947" s="1139"/>
      <c r="S947" s="1139"/>
      <c r="T947" s="1139"/>
      <c r="U947" s="1139"/>
      <c r="V947" s="1139"/>
      <c r="W947" s="1139"/>
      <c r="X947" s="1139"/>
      <c r="Y947" s="1139"/>
      <c r="Z947" s="1139"/>
      <c r="AA947" s="1139"/>
      <c r="AB947" s="1139"/>
      <c r="AC947" s="1139"/>
      <c r="AD947" s="1139"/>
      <c r="AE947" s="1140"/>
      <c r="AF947" s="65"/>
      <c r="AG947" s="21"/>
      <c r="AH947" s="21"/>
      <c r="AI947" s="69"/>
      <c r="AJ947" s="1297"/>
      <c r="AK947" s="1298"/>
      <c r="AL947" s="1298"/>
      <c r="AM947" s="1298"/>
      <c r="AN947" s="1298"/>
      <c r="AO947" s="1298"/>
      <c r="AP947" s="1298"/>
      <c r="AQ947" s="1299"/>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35" customHeight="1">
      <c r="A948" s="21"/>
      <c r="B948" s="768"/>
      <c r="C948" s="772"/>
      <c r="D948" s="1138"/>
      <c r="E948" s="1139"/>
      <c r="F948" s="1139"/>
      <c r="G948" s="1139"/>
      <c r="H948" s="1139"/>
      <c r="I948" s="1139"/>
      <c r="J948" s="1139"/>
      <c r="K948" s="1139"/>
      <c r="L948" s="1139"/>
      <c r="M948" s="1139"/>
      <c r="N948" s="1139"/>
      <c r="O948" s="1139"/>
      <c r="P948" s="1139"/>
      <c r="Q948" s="1139"/>
      <c r="R948" s="1139"/>
      <c r="S948" s="1139"/>
      <c r="T948" s="1139"/>
      <c r="U948" s="1139"/>
      <c r="V948" s="1139"/>
      <c r="W948" s="1139"/>
      <c r="X948" s="1139"/>
      <c r="Y948" s="1139"/>
      <c r="Z948" s="1139"/>
      <c r="AA948" s="1139"/>
      <c r="AB948" s="1139"/>
      <c r="AC948" s="1139"/>
      <c r="AD948" s="1139"/>
      <c r="AE948" s="1140"/>
      <c r="AF948" s="65"/>
      <c r="AG948" s="21"/>
      <c r="AH948" s="21"/>
      <c r="AI948" s="69"/>
      <c r="AJ948" s="1297"/>
      <c r="AK948" s="1298"/>
      <c r="AL948" s="1298"/>
      <c r="AM948" s="1298"/>
      <c r="AN948" s="1298"/>
      <c r="AO948" s="1298"/>
      <c r="AP948" s="1298"/>
      <c r="AQ948" s="1299"/>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35" customHeight="1">
      <c r="A949" s="21"/>
      <c r="B949" s="773"/>
      <c r="C949" s="774"/>
      <c r="D949" s="1141"/>
      <c r="E949" s="1142"/>
      <c r="F949" s="1142"/>
      <c r="G949" s="1142"/>
      <c r="H949" s="1142"/>
      <c r="I949" s="1142"/>
      <c r="J949" s="1142"/>
      <c r="K949" s="1142"/>
      <c r="L949" s="1142"/>
      <c r="M949" s="1142"/>
      <c r="N949" s="1142"/>
      <c r="O949" s="1142"/>
      <c r="P949" s="1142"/>
      <c r="Q949" s="1142"/>
      <c r="R949" s="1142"/>
      <c r="S949" s="1142"/>
      <c r="T949" s="1142"/>
      <c r="U949" s="1142"/>
      <c r="V949" s="1142"/>
      <c r="W949" s="1142"/>
      <c r="X949" s="1142"/>
      <c r="Y949" s="1142"/>
      <c r="Z949" s="1142"/>
      <c r="AA949" s="1142"/>
      <c r="AB949" s="1142"/>
      <c r="AC949" s="1142"/>
      <c r="AD949" s="1142"/>
      <c r="AE949" s="1143"/>
      <c r="AF949" s="66"/>
      <c r="AG949" s="11"/>
      <c r="AH949" s="11"/>
      <c r="AI949" s="67"/>
      <c r="AJ949" s="1294"/>
      <c r="AK949" s="1295"/>
      <c r="AL949" s="1295"/>
      <c r="AM949" s="1295"/>
      <c r="AN949" s="1295"/>
      <c r="AO949" s="1295"/>
      <c r="AP949" s="1295"/>
      <c r="AQ949" s="1296"/>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35" customHeight="1">
      <c r="A950" s="21"/>
      <c r="B950" s="770"/>
      <c r="C950" s="478" t="s">
        <v>1625</v>
      </c>
      <c r="D950" s="1287" t="s">
        <v>1626</v>
      </c>
      <c r="E950" s="1095"/>
      <c r="F950" s="1095"/>
      <c r="G950" s="1095"/>
      <c r="H950" s="1095"/>
      <c r="I950" s="1095"/>
      <c r="J950" s="1095"/>
      <c r="K950" s="1095"/>
      <c r="L950" s="1095"/>
      <c r="M950" s="1095"/>
      <c r="N950" s="1095"/>
      <c r="O950" s="1095"/>
      <c r="P950" s="1095"/>
      <c r="Q950" s="1095"/>
      <c r="R950" s="1095"/>
      <c r="S950" s="1095"/>
      <c r="T950" s="1095"/>
      <c r="U950" s="1095"/>
      <c r="V950" s="1095"/>
      <c r="W950" s="1095"/>
      <c r="X950" s="1095"/>
      <c r="Y950" s="1095"/>
      <c r="Z950" s="1095"/>
      <c r="AA950" s="1095"/>
      <c r="AB950" s="1095"/>
      <c r="AC950" s="1095"/>
      <c r="AD950" s="1095"/>
      <c r="AE950" s="1288"/>
      <c r="AF950" s="70"/>
      <c r="AG950" s="1289" t="s">
        <v>826</v>
      </c>
      <c r="AH950" s="1290"/>
      <c r="AI950" s="71"/>
      <c r="AJ950" s="1291">
        <f>ROUND(IF(AG950="yes",AJ939*0.1,0),0)</f>
        <v>1943106</v>
      </c>
      <c r="AK950" s="1292"/>
      <c r="AL950" s="1292"/>
      <c r="AM950" s="1292"/>
      <c r="AN950" s="1292"/>
      <c r="AO950" s="1292"/>
      <c r="AP950" s="1292"/>
      <c r="AQ950" s="1293"/>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35" customHeight="1">
      <c r="A951" s="21"/>
      <c r="B951" s="65"/>
      <c r="C951" s="479"/>
      <c r="D951" s="1300" t="s">
        <v>1627</v>
      </c>
      <c r="E951" s="1301"/>
      <c r="F951" s="1301"/>
      <c r="G951" s="1301"/>
      <c r="H951" s="1301"/>
      <c r="I951" s="1301"/>
      <c r="J951" s="1301"/>
      <c r="K951" s="1301"/>
      <c r="L951" s="1301"/>
      <c r="M951" s="1301"/>
      <c r="N951" s="1301"/>
      <c r="O951" s="1301"/>
      <c r="P951" s="1301"/>
      <c r="Q951" s="1301"/>
      <c r="R951" s="1301"/>
      <c r="S951" s="1301"/>
      <c r="T951" s="1301"/>
      <c r="U951" s="1301"/>
      <c r="V951" s="1301"/>
      <c r="W951" s="1301"/>
      <c r="X951" s="1301"/>
      <c r="Y951" s="1301"/>
      <c r="Z951" s="1301"/>
      <c r="AA951" s="1301"/>
      <c r="AB951" s="1301"/>
      <c r="AC951" s="1301"/>
      <c r="AD951" s="1301"/>
      <c r="AE951" s="1302"/>
      <c r="AF951" s="65"/>
      <c r="AI951" s="69"/>
      <c r="AJ951" s="1297"/>
      <c r="AK951" s="1298"/>
      <c r="AL951" s="1298"/>
      <c r="AM951" s="1298"/>
      <c r="AN951" s="1298"/>
      <c r="AO951" s="1298"/>
      <c r="AP951" s="1298"/>
      <c r="AQ951" s="1299"/>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35" customHeight="1">
      <c r="A952" s="21"/>
      <c r="B952" s="65"/>
      <c r="C952" s="479"/>
      <c r="D952" s="1300"/>
      <c r="E952" s="1301"/>
      <c r="F952" s="1301"/>
      <c r="G952" s="1301"/>
      <c r="H952" s="1301"/>
      <c r="I952" s="1301"/>
      <c r="J952" s="1301"/>
      <c r="K952" s="1301"/>
      <c r="L952" s="1301"/>
      <c r="M952" s="1301"/>
      <c r="N952" s="1301"/>
      <c r="O952" s="1301"/>
      <c r="P952" s="1301"/>
      <c r="Q952" s="1301"/>
      <c r="R952" s="1301"/>
      <c r="S952" s="1301"/>
      <c r="T952" s="1301"/>
      <c r="U952" s="1301"/>
      <c r="V952" s="1301"/>
      <c r="W952" s="1301"/>
      <c r="X952" s="1301"/>
      <c r="Y952" s="1301"/>
      <c r="Z952" s="1301"/>
      <c r="AA952" s="1301"/>
      <c r="AB952" s="1301"/>
      <c r="AC952" s="1301"/>
      <c r="AD952" s="1301"/>
      <c r="AE952" s="1302"/>
      <c r="AF952" s="65"/>
      <c r="AG952" s="21"/>
      <c r="AH952" s="21"/>
      <c r="AI952" s="69"/>
      <c r="AJ952" s="1297"/>
      <c r="AK952" s="1298"/>
      <c r="AL952" s="1298"/>
      <c r="AM952" s="1298"/>
      <c r="AN952" s="1298"/>
      <c r="AO952" s="1298"/>
      <c r="AP952" s="1298"/>
      <c r="AQ952" s="1299"/>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35" customHeight="1">
      <c r="A953" s="21"/>
      <c r="B953" s="775"/>
      <c r="C953" s="774"/>
      <c r="D953" s="1303"/>
      <c r="E953" s="1304"/>
      <c r="F953" s="1304"/>
      <c r="G953" s="1304"/>
      <c r="H953" s="1304"/>
      <c r="I953" s="1304"/>
      <c r="J953" s="1304"/>
      <c r="K953" s="1304"/>
      <c r="L953" s="1304"/>
      <c r="M953" s="1304"/>
      <c r="N953" s="1304"/>
      <c r="O953" s="1304"/>
      <c r="P953" s="1304"/>
      <c r="Q953" s="1304"/>
      <c r="R953" s="1304"/>
      <c r="S953" s="1304"/>
      <c r="T953" s="1304"/>
      <c r="U953" s="1304"/>
      <c r="V953" s="1304"/>
      <c r="W953" s="1304"/>
      <c r="X953" s="1304"/>
      <c r="Y953" s="1304"/>
      <c r="Z953" s="1304"/>
      <c r="AA953" s="1304"/>
      <c r="AB953" s="1304"/>
      <c r="AC953" s="1304"/>
      <c r="AD953" s="1304"/>
      <c r="AE953" s="1305"/>
      <c r="AF953" s="66"/>
      <c r="AG953" s="11"/>
      <c r="AH953" s="11"/>
      <c r="AI953" s="67"/>
      <c r="AJ953" s="1294"/>
      <c r="AK953" s="1295"/>
      <c r="AL953" s="1295"/>
      <c r="AM953" s="1295"/>
      <c r="AN953" s="1295"/>
      <c r="AO953" s="1295"/>
      <c r="AP953" s="1295"/>
      <c r="AQ953" s="1296"/>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35" customHeight="1">
      <c r="A954" s="21"/>
      <c r="B954" s="68"/>
      <c r="C954" s="478" t="s">
        <v>1628</v>
      </c>
      <c r="D954" s="1287" t="s">
        <v>1629</v>
      </c>
      <c r="E954" s="1095"/>
      <c r="F954" s="1095"/>
      <c r="G954" s="1095"/>
      <c r="H954" s="1095"/>
      <c r="I954" s="1095"/>
      <c r="J954" s="1095"/>
      <c r="K954" s="1095"/>
      <c r="L954" s="1095"/>
      <c r="M954" s="1095"/>
      <c r="N954" s="1095"/>
      <c r="O954" s="1095"/>
      <c r="P954" s="1095"/>
      <c r="Q954" s="1095"/>
      <c r="R954" s="1095"/>
      <c r="S954" s="1095"/>
      <c r="T954" s="1095"/>
      <c r="U954" s="1095"/>
      <c r="V954" s="1095"/>
      <c r="W954" s="1095"/>
      <c r="X954" s="1095"/>
      <c r="Y954" s="1095"/>
      <c r="Z954" s="1095"/>
      <c r="AA954" s="1095"/>
      <c r="AB954" s="1095"/>
      <c r="AC954" s="1095"/>
      <c r="AD954" s="1095"/>
      <c r="AE954" s="1288"/>
      <c r="AF954" s="68"/>
      <c r="AG954" s="1289" t="s">
        <v>712</v>
      </c>
      <c r="AH954" s="1290"/>
      <c r="AI954" s="71"/>
      <c r="AJ954" s="1291">
        <f>ROUND(IF(AG954="yes",AJ939*0.02,0),0)</f>
        <v>0</v>
      </c>
      <c r="AK954" s="1292"/>
      <c r="AL954" s="1292"/>
      <c r="AM954" s="1292"/>
      <c r="AN954" s="1292"/>
      <c r="AO954" s="1292"/>
      <c r="AP954" s="1292"/>
      <c r="AQ954" s="1293"/>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3.35" customHeight="1">
      <c r="A955" s="21"/>
      <c r="B955" s="65"/>
      <c r="C955" s="479"/>
      <c r="D955" s="1303" t="s">
        <v>1630</v>
      </c>
      <c r="E955" s="1304"/>
      <c r="F955" s="1304"/>
      <c r="G955" s="1304"/>
      <c r="H955" s="1304"/>
      <c r="I955" s="1304"/>
      <c r="J955" s="1304"/>
      <c r="K955" s="1304"/>
      <c r="L955" s="1304"/>
      <c r="M955" s="1304"/>
      <c r="N955" s="1304"/>
      <c r="O955" s="1304"/>
      <c r="P955" s="1304"/>
      <c r="Q955" s="1304"/>
      <c r="R955" s="1304"/>
      <c r="S955" s="1304"/>
      <c r="T955" s="1304"/>
      <c r="U955" s="1304"/>
      <c r="V955" s="1304"/>
      <c r="W955" s="1304"/>
      <c r="X955" s="1304"/>
      <c r="Y955" s="1304"/>
      <c r="Z955" s="1304"/>
      <c r="AA955" s="1304"/>
      <c r="AB955" s="1304"/>
      <c r="AC955" s="1304"/>
      <c r="AD955" s="1304"/>
      <c r="AE955" s="1305"/>
      <c r="AF955" s="66"/>
      <c r="AG955" s="11"/>
      <c r="AH955" s="11"/>
      <c r="AI955" s="67"/>
      <c r="AJ955" s="1294"/>
      <c r="AK955" s="1295"/>
      <c r="AL955" s="1295"/>
      <c r="AM955" s="1295"/>
      <c r="AN955" s="1295"/>
      <c r="AO955" s="1295"/>
      <c r="AP955" s="1295"/>
      <c r="AQ955" s="1296"/>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3.35" customHeight="1">
      <c r="A956" s="21"/>
      <c r="B956" s="68"/>
      <c r="C956" s="478" t="s">
        <v>1631</v>
      </c>
      <c r="D956" s="1287" t="s">
        <v>1632</v>
      </c>
      <c r="E956" s="1095"/>
      <c r="F956" s="1095"/>
      <c r="G956" s="1095"/>
      <c r="H956" s="1095"/>
      <c r="I956" s="1095"/>
      <c r="J956" s="1095"/>
      <c r="K956" s="1095"/>
      <c r="L956" s="1095"/>
      <c r="M956" s="1095"/>
      <c r="N956" s="1095"/>
      <c r="O956" s="1095"/>
      <c r="P956" s="1095"/>
      <c r="Q956" s="1095"/>
      <c r="R956" s="1095"/>
      <c r="S956" s="1095"/>
      <c r="T956" s="1095"/>
      <c r="U956" s="1095"/>
      <c r="V956" s="1095"/>
      <c r="W956" s="1095"/>
      <c r="X956" s="1095"/>
      <c r="Y956" s="1095"/>
      <c r="Z956" s="1095"/>
      <c r="AA956" s="1095"/>
      <c r="AB956" s="1095"/>
      <c r="AC956" s="1095"/>
      <c r="AD956" s="1095"/>
      <c r="AE956" s="1288"/>
      <c r="AF956" s="68"/>
      <c r="AG956" s="1289" t="s">
        <v>712</v>
      </c>
      <c r="AH956" s="1290"/>
      <c r="AI956" s="68"/>
      <c r="AJ956" s="1291">
        <f>ROUND(IF(AG956="yes",AJ939*0.02,0),0)</f>
        <v>0</v>
      </c>
      <c r="AK956" s="1292"/>
      <c r="AL956" s="1292"/>
      <c r="AM956" s="1292"/>
      <c r="AN956" s="1292"/>
      <c r="AO956" s="1292"/>
      <c r="AP956" s="1292"/>
      <c r="AQ956" s="1293"/>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3.35" customHeight="1">
      <c r="A957" s="21"/>
      <c r="B957" s="65"/>
      <c r="C957" s="479"/>
      <c r="D957" s="1300" t="s">
        <v>1633</v>
      </c>
      <c r="E957" s="1301"/>
      <c r="F957" s="1301"/>
      <c r="G957" s="1301"/>
      <c r="H957" s="1301"/>
      <c r="I957" s="1301"/>
      <c r="J957" s="1301"/>
      <c r="K957" s="1301"/>
      <c r="L957" s="1301"/>
      <c r="M957" s="1301"/>
      <c r="N957" s="1301"/>
      <c r="O957" s="1301"/>
      <c r="P957" s="1301"/>
      <c r="Q957" s="1301"/>
      <c r="R957" s="1301"/>
      <c r="S957" s="1301"/>
      <c r="T957" s="1301"/>
      <c r="U957" s="1301"/>
      <c r="V957" s="1301"/>
      <c r="W957" s="1301"/>
      <c r="X957" s="1301"/>
      <c r="Y957" s="1301"/>
      <c r="Z957" s="1301"/>
      <c r="AA957" s="1301"/>
      <c r="AB957" s="1301"/>
      <c r="AC957" s="1301"/>
      <c r="AD957" s="1301"/>
      <c r="AE957" s="1302"/>
      <c r="AF957" s="65"/>
      <c r="AI957" s="21"/>
      <c r="AJ957" s="1297"/>
      <c r="AK957" s="1298"/>
      <c r="AL957" s="1298"/>
      <c r="AM957" s="1298"/>
      <c r="AN957" s="1298"/>
      <c r="AO957" s="1298"/>
      <c r="AP957" s="1298"/>
      <c r="AQ957" s="1299"/>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35" customHeight="1">
      <c r="A958" s="21"/>
      <c r="B958" s="773"/>
      <c r="C958" s="774"/>
      <c r="D958" s="1303"/>
      <c r="E958" s="1304"/>
      <c r="F958" s="1304"/>
      <c r="G958" s="1304"/>
      <c r="H958" s="1304"/>
      <c r="I958" s="1304"/>
      <c r="J958" s="1304"/>
      <c r="K958" s="1304"/>
      <c r="L958" s="1304"/>
      <c r="M958" s="1304"/>
      <c r="N958" s="1304"/>
      <c r="O958" s="1304"/>
      <c r="P958" s="1304"/>
      <c r="Q958" s="1304"/>
      <c r="R958" s="1304"/>
      <c r="S958" s="1304"/>
      <c r="T958" s="1304"/>
      <c r="U958" s="1304"/>
      <c r="V958" s="1304"/>
      <c r="W958" s="1304"/>
      <c r="X958" s="1304"/>
      <c r="Y958" s="1304"/>
      <c r="Z958" s="1304"/>
      <c r="AA958" s="1304"/>
      <c r="AB958" s="1304"/>
      <c r="AC958" s="1304"/>
      <c r="AD958" s="1304"/>
      <c r="AE958" s="1305"/>
      <c r="AF958" s="66"/>
      <c r="AG958" s="11"/>
      <c r="AH958" s="11"/>
      <c r="AI958" s="67"/>
      <c r="AJ958" s="1294"/>
      <c r="AK958" s="1295"/>
      <c r="AL958" s="1295"/>
      <c r="AM958" s="1295"/>
      <c r="AN958" s="1295"/>
      <c r="AO958" s="1295"/>
      <c r="AP958" s="1295"/>
      <c r="AQ958" s="1296"/>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35" customHeight="1">
      <c r="A959" s="21"/>
      <c r="B959" s="68"/>
      <c r="C959" s="478" t="s">
        <v>1634</v>
      </c>
      <c r="D959" s="1314" t="s">
        <v>1635</v>
      </c>
      <c r="E959" s="1315"/>
      <c r="F959" s="1315"/>
      <c r="G959" s="1315"/>
      <c r="H959" s="1315"/>
      <c r="I959" s="1315"/>
      <c r="J959" s="1315"/>
      <c r="K959" s="1315"/>
      <c r="L959" s="1315"/>
      <c r="M959" s="1315"/>
      <c r="N959" s="1315"/>
      <c r="O959" s="1315"/>
      <c r="P959" s="1315"/>
      <c r="Q959" s="1315"/>
      <c r="R959" s="1315"/>
      <c r="S959" s="1315"/>
      <c r="T959" s="1315"/>
      <c r="U959" s="1315"/>
      <c r="V959" s="1315"/>
      <c r="W959" s="1315"/>
      <c r="X959" s="1315"/>
      <c r="Y959" s="1315"/>
      <c r="Z959" s="1315"/>
      <c r="AA959" s="1315"/>
      <c r="AB959" s="1315"/>
      <c r="AC959" s="1315"/>
      <c r="AD959" s="1315"/>
      <c r="AE959" s="1316"/>
      <c r="AF959" s="68"/>
      <c r="AG959" s="1289" t="s">
        <v>712</v>
      </c>
      <c r="AH959" s="1290"/>
      <c r="AI959" s="71"/>
      <c r="AJ959" s="1291">
        <f>IF(AG959="yes",AJ939*AY918,0)</f>
        <v>0</v>
      </c>
      <c r="AK959" s="1292"/>
      <c r="AL959" s="1292"/>
      <c r="AM959" s="1292"/>
      <c r="AN959" s="1292"/>
      <c r="AO959" s="1292"/>
      <c r="AP959" s="1292"/>
      <c r="AQ959" s="1293"/>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3.35" customHeight="1">
      <c r="A960" s="21"/>
      <c r="B960" s="65"/>
      <c r="C960" s="479"/>
      <c r="D960" s="1300" t="s">
        <v>1636</v>
      </c>
      <c r="E960" s="1301"/>
      <c r="F960" s="1301"/>
      <c r="G960" s="1301"/>
      <c r="H960" s="1301"/>
      <c r="I960" s="1301"/>
      <c r="J960" s="1301"/>
      <c r="K960" s="1301"/>
      <c r="L960" s="1301"/>
      <c r="M960" s="1301"/>
      <c r="N960" s="1301"/>
      <c r="O960" s="1301"/>
      <c r="P960" s="1301"/>
      <c r="Q960" s="1301"/>
      <c r="R960" s="1301"/>
      <c r="S960" s="1301"/>
      <c r="T960" s="1301"/>
      <c r="U960" s="1301"/>
      <c r="V960" s="1301"/>
      <c r="W960" s="1301"/>
      <c r="X960" s="1301"/>
      <c r="Y960" s="1301"/>
      <c r="Z960" s="1301"/>
      <c r="AA960" s="1301"/>
      <c r="AB960" s="1301"/>
      <c r="AC960" s="1301"/>
      <c r="AD960" s="1301"/>
      <c r="AE960" s="1302"/>
      <c r="AF960" s="65"/>
      <c r="AG960" s="21"/>
      <c r="AH960" s="21"/>
      <c r="AI960" s="69"/>
      <c r="AJ960" s="1297"/>
      <c r="AK960" s="1298"/>
      <c r="AL960" s="1298"/>
      <c r="AM960" s="1298"/>
      <c r="AN960" s="1298"/>
      <c r="AO960" s="1298"/>
      <c r="AP960" s="1298"/>
      <c r="AQ960" s="1299"/>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35" customHeight="1">
      <c r="A961" s="21"/>
      <c r="B961" s="65"/>
      <c r="C961" s="479"/>
      <c r="D961" s="1300"/>
      <c r="E961" s="1301"/>
      <c r="F961" s="1301"/>
      <c r="G961" s="1301"/>
      <c r="H961" s="1301"/>
      <c r="I961" s="1301"/>
      <c r="J961" s="1301"/>
      <c r="K961" s="1301"/>
      <c r="L961" s="1301"/>
      <c r="M961" s="1301"/>
      <c r="N961" s="1301"/>
      <c r="O961" s="1301"/>
      <c r="P961" s="1301"/>
      <c r="Q961" s="1301"/>
      <c r="R961" s="1301"/>
      <c r="S961" s="1301"/>
      <c r="T961" s="1301"/>
      <c r="U961" s="1301"/>
      <c r="V961" s="1301"/>
      <c r="W961" s="1301"/>
      <c r="X961" s="1301"/>
      <c r="Y961" s="1301"/>
      <c r="Z961" s="1301"/>
      <c r="AA961" s="1301"/>
      <c r="AB961" s="1301"/>
      <c r="AC961" s="1301"/>
      <c r="AD961" s="1301"/>
      <c r="AE961" s="1302"/>
      <c r="AF961" s="65"/>
      <c r="AG961" s="21"/>
      <c r="AH961" s="21"/>
      <c r="AI961" s="69"/>
      <c r="AJ961" s="1297"/>
      <c r="AK961" s="1298"/>
      <c r="AL961" s="1298"/>
      <c r="AM961" s="1298"/>
      <c r="AN961" s="1298"/>
      <c r="AO961" s="1298"/>
      <c r="AP961" s="1298"/>
      <c r="AQ961" s="1299"/>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35" customHeight="1">
      <c r="A962" s="21"/>
      <c r="B962" s="776"/>
      <c r="C962" s="772"/>
      <c r="D962" s="1303"/>
      <c r="E962" s="1304"/>
      <c r="F962" s="1304"/>
      <c r="G962" s="1304"/>
      <c r="H962" s="1304"/>
      <c r="I962" s="1304"/>
      <c r="J962" s="1304"/>
      <c r="K962" s="1304"/>
      <c r="L962" s="1304"/>
      <c r="M962" s="1304"/>
      <c r="N962" s="1304"/>
      <c r="O962" s="1304"/>
      <c r="P962" s="1304"/>
      <c r="Q962" s="1304"/>
      <c r="R962" s="1304"/>
      <c r="S962" s="1304"/>
      <c r="T962" s="1304"/>
      <c r="U962" s="1304"/>
      <c r="V962" s="1304"/>
      <c r="W962" s="1304"/>
      <c r="X962" s="1304"/>
      <c r="Y962" s="1304"/>
      <c r="Z962" s="1304"/>
      <c r="AA962" s="1304"/>
      <c r="AB962" s="1304"/>
      <c r="AC962" s="1304"/>
      <c r="AD962" s="1304"/>
      <c r="AE962" s="1305"/>
      <c r="AF962" s="66"/>
      <c r="AG962" s="11"/>
      <c r="AH962" s="11"/>
      <c r="AI962" s="67"/>
      <c r="AJ962" s="1294"/>
      <c r="AK962" s="1295"/>
      <c r="AL962" s="1295"/>
      <c r="AM962" s="1295"/>
      <c r="AN962" s="1295"/>
      <c r="AO962" s="1295"/>
      <c r="AP962" s="1295"/>
      <c r="AQ962" s="1296"/>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3.35" customHeight="1">
      <c r="A963" s="21"/>
      <c r="B963" s="68"/>
      <c r="C963" s="478" t="s">
        <v>1637</v>
      </c>
      <c r="D963" s="1476" t="s">
        <v>1638</v>
      </c>
      <c r="E963" s="1477"/>
      <c r="F963" s="1477"/>
      <c r="G963" s="1477"/>
      <c r="H963" s="1477"/>
      <c r="I963" s="1477"/>
      <c r="J963" s="1477"/>
      <c r="K963" s="1477"/>
      <c r="L963" s="1477"/>
      <c r="M963" s="1477"/>
      <c r="N963" s="1477"/>
      <c r="O963" s="1477"/>
      <c r="P963" s="1477"/>
      <c r="Q963" s="1477"/>
      <c r="R963" s="1477"/>
      <c r="S963" s="1477"/>
      <c r="T963" s="1477"/>
      <c r="U963" s="1477"/>
      <c r="V963" s="1477"/>
      <c r="W963" s="1477"/>
      <c r="X963" s="1477"/>
      <c r="Y963" s="1477"/>
      <c r="Z963" s="1477"/>
      <c r="AA963" s="1477"/>
      <c r="AB963" s="1477"/>
      <c r="AC963" s="1477"/>
      <c r="AD963" s="1477"/>
      <c r="AE963" s="1478"/>
      <c r="AF963" s="68"/>
      <c r="AG963" s="1289" t="s">
        <v>712</v>
      </c>
      <c r="AH963" s="1290"/>
      <c r="AI963" s="71"/>
      <c r="AJ963" s="1291">
        <f>ROUND(IF(AG963="Yes",MIN(AF966,(0.15*AJ939)),0),0)</f>
        <v>0</v>
      </c>
      <c r="AK963" s="1292"/>
      <c r="AL963" s="1292"/>
      <c r="AM963" s="1292"/>
      <c r="AN963" s="1292"/>
      <c r="AO963" s="1292"/>
      <c r="AP963" s="1292"/>
      <c r="AQ963" s="1293"/>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3.35" customHeight="1">
      <c r="A964" s="21"/>
      <c r="B964" s="776"/>
      <c r="C964" s="777"/>
      <c r="D964" s="1479"/>
      <c r="E964" s="1480"/>
      <c r="F964" s="1480"/>
      <c r="G964" s="1480"/>
      <c r="H964" s="1480"/>
      <c r="I964" s="1480"/>
      <c r="J964" s="1480"/>
      <c r="K964" s="1480"/>
      <c r="L964" s="1480"/>
      <c r="M964" s="1480"/>
      <c r="N964" s="1480"/>
      <c r="O964" s="1480"/>
      <c r="P964" s="1480"/>
      <c r="Q964" s="1480"/>
      <c r="R964" s="1480"/>
      <c r="S964" s="1480"/>
      <c r="T964" s="1480"/>
      <c r="U964" s="1480"/>
      <c r="V964" s="1480"/>
      <c r="W964" s="1480"/>
      <c r="X964" s="1480"/>
      <c r="Y964" s="1480"/>
      <c r="Z964" s="1480"/>
      <c r="AA964" s="1480"/>
      <c r="AB964" s="1480"/>
      <c r="AC964" s="1480"/>
      <c r="AD964" s="1480"/>
      <c r="AE964" s="1481"/>
      <c r="AF964" s="1113" t="str">
        <f>IF(AG963="yes","Please Select Type and Enter Amount:","")</f>
        <v/>
      </c>
      <c r="AG964" s="1114"/>
      <c r="AH964" s="1114"/>
      <c r="AI964" s="1115"/>
      <c r="AJ964" s="1297"/>
      <c r="AK964" s="1298"/>
      <c r="AL964" s="1298"/>
      <c r="AM964" s="1298"/>
      <c r="AN964" s="1298"/>
      <c r="AO964" s="1298"/>
      <c r="AP964" s="1298"/>
      <c r="AQ964" s="1299"/>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3.35" customHeight="1">
      <c r="A965" s="21"/>
      <c r="B965" s="776"/>
      <c r="C965" s="777"/>
      <c r="D965" s="1300" t="s">
        <v>1639</v>
      </c>
      <c r="E965" s="1301"/>
      <c r="F965" s="1301"/>
      <c r="G965" s="1301"/>
      <c r="H965" s="1301"/>
      <c r="I965" s="1301"/>
      <c r="J965" s="1301"/>
      <c r="K965" s="1301"/>
      <c r="L965" s="1301"/>
      <c r="M965" s="1301"/>
      <c r="N965" s="1301"/>
      <c r="O965" s="1301"/>
      <c r="P965" s="1301"/>
      <c r="Q965" s="1301"/>
      <c r="R965" s="1301"/>
      <c r="S965" s="1301"/>
      <c r="T965" s="1301"/>
      <c r="U965" s="1301"/>
      <c r="V965" s="1301"/>
      <c r="W965" s="1301"/>
      <c r="X965" s="1301"/>
      <c r="Y965" s="1301"/>
      <c r="Z965" s="1301"/>
      <c r="AA965" s="1301"/>
      <c r="AB965" s="1301"/>
      <c r="AC965" s="1301"/>
      <c r="AD965" s="1301"/>
      <c r="AE965" s="1302"/>
      <c r="AF965" s="1113"/>
      <c r="AG965" s="1114"/>
      <c r="AH965" s="1114"/>
      <c r="AI965" s="1115"/>
      <c r="AJ965" s="1297"/>
      <c r="AK965" s="1298"/>
      <c r="AL965" s="1298"/>
      <c r="AM965" s="1298"/>
      <c r="AN965" s="1298"/>
      <c r="AO965" s="1298"/>
      <c r="AP965" s="1298"/>
      <c r="AQ965" s="1299"/>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35" customHeight="1">
      <c r="A966" s="21"/>
      <c r="B966" s="776"/>
      <c r="C966" s="777"/>
      <c r="D966" s="1300"/>
      <c r="E966" s="1301"/>
      <c r="F966" s="1301"/>
      <c r="G966" s="1301"/>
      <c r="H966" s="1301"/>
      <c r="I966" s="1301"/>
      <c r="J966" s="1301"/>
      <c r="K966" s="1301"/>
      <c r="L966" s="1301"/>
      <c r="M966" s="1301"/>
      <c r="N966" s="1301"/>
      <c r="O966" s="1301"/>
      <c r="P966" s="1301"/>
      <c r="Q966" s="1301"/>
      <c r="R966" s="1301"/>
      <c r="S966" s="1301"/>
      <c r="T966" s="1301"/>
      <c r="U966" s="1301"/>
      <c r="V966" s="1301"/>
      <c r="W966" s="1301"/>
      <c r="X966" s="1301"/>
      <c r="Y966" s="1301"/>
      <c r="Z966" s="1301"/>
      <c r="AA966" s="1301"/>
      <c r="AB966" s="1301"/>
      <c r="AC966" s="1301"/>
      <c r="AD966" s="1301"/>
      <c r="AE966" s="1302"/>
      <c r="AF966" s="1116"/>
      <c r="AG966" s="1116"/>
      <c r="AH966" s="1116"/>
      <c r="AI966" s="1116"/>
      <c r="AJ966" s="1297"/>
      <c r="AK966" s="1298"/>
      <c r="AL966" s="1298"/>
      <c r="AM966" s="1298"/>
      <c r="AN966" s="1298"/>
      <c r="AO966" s="1298"/>
      <c r="AP966" s="1298"/>
      <c r="AQ966" s="1299"/>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35" customHeight="1">
      <c r="A967" s="21"/>
      <c r="B967" s="776"/>
      <c r="C967" s="777"/>
      <c r="D967" s="778" t="s">
        <v>1640</v>
      </c>
      <c r="E967" s="73"/>
      <c r="F967" s="73"/>
      <c r="G967" s="339"/>
      <c r="H967" s="339"/>
      <c r="I967" s="48"/>
      <c r="J967" s="1482" t="s">
        <v>325</v>
      </c>
      <c r="K967" s="1483"/>
      <c r="L967" s="1483"/>
      <c r="M967" s="1483"/>
      <c r="N967" s="1483"/>
      <c r="O967" s="1483"/>
      <c r="P967" s="1483"/>
      <c r="Q967" s="1483"/>
      <c r="R967" s="1483"/>
      <c r="S967" s="1483"/>
      <c r="T967" s="1483"/>
      <c r="U967" s="1483"/>
      <c r="V967" s="1483"/>
      <c r="W967" s="1483"/>
      <c r="X967" s="1483"/>
      <c r="Y967" s="1483"/>
      <c r="Z967" s="1483"/>
      <c r="AA967" s="1483"/>
      <c r="AB967" s="1483"/>
      <c r="AC967" s="1483"/>
      <c r="AD967" s="1483"/>
      <c r="AE967" s="1484"/>
      <c r="AF967" s="1116"/>
      <c r="AG967" s="1116"/>
      <c r="AH967" s="1116"/>
      <c r="AI967" s="1116"/>
      <c r="AJ967" s="1294"/>
      <c r="AK967" s="1295"/>
      <c r="AL967" s="1295"/>
      <c r="AM967" s="1295"/>
      <c r="AN967" s="1295"/>
      <c r="AO967" s="1295"/>
      <c r="AP967" s="1295"/>
      <c r="AQ967" s="1296"/>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3.35" customHeight="1">
      <c r="A968" s="21"/>
      <c r="B968" s="68"/>
      <c r="C968" s="478" t="s">
        <v>1641</v>
      </c>
      <c r="D968" s="1287" t="s">
        <v>1642</v>
      </c>
      <c r="E968" s="1095"/>
      <c r="F968" s="1095"/>
      <c r="G968" s="1095"/>
      <c r="H968" s="1095"/>
      <c r="I968" s="1095"/>
      <c r="J968" s="1095"/>
      <c r="K968" s="1095"/>
      <c r="L968" s="1095"/>
      <c r="M968" s="1095"/>
      <c r="N968" s="1095"/>
      <c r="O968" s="1095"/>
      <c r="P968" s="1095"/>
      <c r="Q968" s="1095"/>
      <c r="R968" s="1095"/>
      <c r="S968" s="1095"/>
      <c r="T968" s="1095"/>
      <c r="U968" s="1095"/>
      <c r="V968" s="1095"/>
      <c r="W968" s="1095"/>
      <c r="X968" s="1095"/>
      <c r="Y968" s="1095"/>
      <c r="Z968" s="1095"/>
      <c r="AA968" s="1095"/>
      <c r="AB968" s="1095"/>
      <c r="AC968" s="1095"/>
      <c r="AD968" s="1095"/>
      <c r="AE968" s="1288"/>
      <c r="AF968" s="68"/>
      <c r="AG968" s="1289" t="s">
        <v>712</v>
      </c>
      <c r="AH968" s="1290"/>
      <c r="AI968" s="71"/>
      <c r="AJ968" s="1291">
        <f>ROUND(IF(AG968="Yes",AF970,0),0)</f>
        <v>0</v>
      </c>
      <c r="AK968" s="1292"/>
      <c r="AL968" s="1292"/>
      <c r="AM968" s="1292"/>
      <c r="AN968" s="1292"/>
      <c r="AO968" s="1292"/>
      <c r="AP968" s="1292"/>
      <c r="AQ968" s="1293"/>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35" customHeight="1">
      <c r="A969" s="21"/>
      <c r="B969" s="65"/>
      <c r="C969" s="479"/>
      <c r="D969" s="1300" t="s">
        <v>1643</v>
      </c>
      <c r="E969" s="1301"/>
      <c r="F969" s="1301"/>
      <c r="G969" s="1301"/>
      <c r="H969" s="1301"/>
      <c r="I969" s="1301"/>
      <c r="J969" s="1301"/>
      <c r="K969" s="1301"/>
      <c r="L969" s="1301"/>
      <c r="M969" s="1301"/>
      <c r="N969" s="1301"/>
      <c r="O969" s="1301"/>
      <c r="P969" s="1301"/>
      <c r="Q969" s="1301"/>
      <c r="R969" s="1301"/>
      <c r="S969" s="1301"/>
      <c r="T969" s="1301"/>
      <c r="U969" s="1301"/>
      <c r="V969" s="1301"/>
      <c r="W969" s="1301"/>
      <c r="X969" s="1301"/>
      <c r="Y969" s="1301"/>
      <c r="Z969" s="1301"/>
      <c r="AA969" s="1301"/>
      <c r="AB969" s="1301"/>
      <c r="AC969" s="1301"/>
      <c r="AD969" s="1301"/>
      <c r="AE969" s="1302"/>
      <c r="AF969" s="1117" t="str">
        <f>IF(AG968="yes","Please Enter Amount:","")</f>
        <v/>
      </c>
      <c r="AG969" s="1118"/>
      <c r="AH969" s="1118"/>
      <c r="AI969" s="1119"/>
      <c r="AJ969" s="1297"/>
      <c r="AK969" s="1298"/>
      <c r="AL969" s="1298"/>
      <c r="AM969" s="1298"/>
      <c r="AN969" s="1298"/>
      <c r="AO969" s="1298"/>
      <c r="AP969" s="1298"/>
      <c r="AQ969" s="1299"/>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35" customHeight="1">
      <c r="A970" s="21"/>
      <c r="B970" s="65"/>
      <c r="C970" s="479"/>
      <c r="D970" s="1300"/>
      <c r="E970" s="1301"/>
      <c r="F970" s="1301"/>
      <c r="G970" s="1301"/>
      <c r="H970" s="1301"/>
      <c r="I970" s="1301"/>
      <c r="J970" s="1301"/>
      <c r="K970" s="1301"/>
      <c r="L970" s="1301"/>
      <c r="M970" s="1301"/>
      <c r="N970" s="1301"/>
      <c r="O970" s="1301"/>
      <c r="P970" s="1301"/>
      <c r="Q970" s="1301"/>
      <c r="R970" s="1301"/>
      <c r="S970" s="1301"/>
      <c r="T970" s="1301"/>
      <c r="U970" s="1301"/>
      <c r="V970" s="1301"/>
      <c r="W970" s="1301"/>
      <c r="X970" s="1301"/>
      <c r="Y970" s="1301"/>
      <c r="Z970" s="1301"/>
      <c r="AA970" s="1301"/>
      <c r="AB970" s="1301"/>
      <c r="AC970" s="1301"/>
      <c r="AD970" s="1301"/>
      <c r="AE970" s="1302"/>
      <c r="AF970" s="1116"/>
      <c r="AG970" s="1116"/>
      <c r="AH970" s="1116"/>
      <c r="AI970" s="1116"/>
      <c r="AJ970" s="1297"/>
      <c r="AK970" s="1298"/>
      <c r="AL970" s="1298"/>
      <c r="AM970" s="1298"/>
      <c r="AN970" s="1298"/>
      <c r="AO970" s="1298"/>
      <c r="AP970" s="1298"/>
      <c r="AQ970" s="1299"/>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35" customHeight="1">
      <c r="A971" s="21"/>
      <c r="B971" s="775"/>
      <c r="C971" s="777"/>
      <c r="D971" s="1303"/>
      <c r="E971" s="1304"/>
      <c r="F971" s="1304"/>
      <c r="G971" s="1304"/>
      <c r="H971" s="1304"/>
      <c r="I971" s="1304"/>
      <c r="J971" s="1304"/>
      <c r="K971" s="1304"/>
      <c r="L971" s="1304"/>
      <c r="M971" s="1304"/>
      <c r="N971" s="1304"/>
      <c r="O971" s="1304"/>
      <c r="P971" s="1304"/>
      <c r="Q971" s="1304"/>
      <c r="R971" s="1304"/>
      <c r="S971" s="1304"/>
      <c r="T971" s="1304"/>
      <c r="U971" s="1304"/>
      <c r="V971" s="1304"/>
      <c r="W971" s="1304"/>
      <c r="X971" s="1304"/>
      <c r="Y971" s="1304"/>
      <c r="Z971" s="1304"/>
      <c r="AA971" s="1304"/>
      <c r="AB971" s="1304"/>
      <c r="AC971" s="1304"/>
      <c r="AD971" s="1304"/>
      <c r="AE971" s="1305"/>
      <c r="AF971" s="1116"/>
      <c r="AG971" s="1116"/>
      <c r="AH971" s="1116"/>
      <c r="AI971" s="1116"/>
      <c r="AJ971" s="1294"/>
      <c r="AK971" s="1295"/>
      <c r="AL971" s="1295"/>
      <c r="AM971" s="1295"/>
      <c r="AN971" s="1295"/>
      <c r="AO971" s="1295"/>
      <c r="AP971" s="1295"/>
      <c r="AQ971" s="1296"/>
    </row>
    <row r="972" spans="1:97" ht="13.35" customHeight="1">
      <c r="A972" s="21"/>
      <c r="B972" s="68"/>
      <c r="C972" s="478" t="s">
        <v>1644</v>
      </c>
      <c r="D972" s="1314" t="s">
        <v>1645</v>
      </c>
      <c r="E972" s="1315"/>
      <c r="F972" s="1315"/>
      <c r="G972" s="1315"/>
      <c r="H972" s="1315"/>
      <c r="I972" s="1315"/>
      <c r="J972" s="1315"/>
      <c r="K972" s="1315"/>
      <c r="L972" s="1315"/>
      <c r="M972" s="1315"/>
      <c r="N972" s="1315"/>
      <c r="O972" s="1315"/>
      <c r="P972" s="1315"/>
      <c r="Q972" s="1315"/>
      <c r="R972" s="1315"/>
      <c r="S972" s="1315"/>
      <c r="T972" s="1315"/>
      <c r="U972" s="1315"/>
      <c r="V972" s="1315"/>
      <c r="W972" s="1315"/>
      <c r="X972" s="1315"/>
      <c r="Y972" s="1315"/>
      <c r="Z972" s="1315"/>
      <c r="AA972" s="1315"/>
      <c r="AB972" s="1315"/>
      <c r="AC972" s="1315"/>
      <c r="AD972" s="1315"/>
      <c r="AE972" s="1316"/>
      <c r="AF972" s="68"/>
      <c r="AG972" s="1289" t="s">
        <v>826</v>
      </c>
      <c r="AH972" s="1290"/>
      <c r="AI972" s="71"/>
      <c r="AJ972" s="1291">
        <f>ROUND(IF(AG972="yes",(AJ939*0.1),0),0)</f>
        <v>1943106</v>
      </c>
      <c r="AK972" s="1292"/>
      <c r="AL972" s="1292"/>
      <c r="AM972" s="1292"/>
      <c r="AN972" s="1292"/>
      <c r="AO972" s="1292"/>
      <c r="AP972" s="1292"/>
      <c r="AQ972" s="1293"/>
    </row>
    <row r="973" spans="1:97" ht="13.35" customHeight="1">
      <c r="A973" s="21"/>
      <c r="B973" s="65"/>
      <c r="C973" s="479"/>
      <c r="D973" s="1300" t="s">
        <v>1646</v>
      </c>
      <c r="E973" s="1301"/>
      <c r="F973" s="1301"/>
      <c r="G973" s="1301"/>
      <c r="H973" s="1301"/>
      <c r="I973" s="1301"/>
      <c r="J973" s="1301"/>
      <c r="K973" s="1301"/>
      <c r="L973" s="1301"/>
      <c r="M973" s="1301"/>
      <c r="N973" s="1301"/>
      <c r="O973" s="1301"/>
      <c r="P973" s="1301"/>
      <c r="Q973" s="1301"/>
      <c r="R973" s="1301"/>
      <c r="S973" s="1301"/>
      <c r="T973" s="1301"/>
      <c r="U973" s="1301"/>
      <c r="V973" s="1301"/>
      <c r="W973" s="1301"/>
      <c r="X973" s="1301"/>
      <c r="Y973" s="1301"/>
      <c r="Z973" s="1301"/>
      <c r="AA973" s="1301"/>
      <c r="AB973" s="1301"/>
      <c r="AC973" s="1301"/>
      <c r="AD973" s="1301"/>
      <c r="AE973" s="1302"/>
      <c r="AF973" s="65"/>
      <c r="AG973" s="21"/>
      <c r="AH973" s="21"/>
      <c r="AI973" s="69"/>
      <c r="AJ973" s="1297"/>
      <c r="AK973" s="1298"/>
      <c r="AL973" s="1298"/>
      <c r="AM973" s="1298"/>
      <c r="AN973" s="1298"/>
      <c r="AO973" s="1298"/>
      <c r="AP973" s="1298"/>
      <c r="AQ973" s="1299"/>
    </row>
    <row r="974" spans="1:97" ht="13.35" customHeight="1">
      <c r="A974" s="21"/>
      <c r="B974" s="66"/>
      <c r="C974" s="479"/>
      <c r="D974" s="1303"/>
      <c r="E974" s="1304"/>
      <c r="F974" s="1304"/>
      <c r="G974" s="1304"/>
      <c r="H974" s="1304"/>
      <c r="I974" s="1304"/>
      <c r="J974" s="1304"/>
      <c r="K974" s="1304"/>
      <c r="L974" s="1304"/>
      <c r="M974" s="1304"/>
      <c r="N974" s="1304"/>
      <c r="O974" s="1304"/>
      <c r="P974" s="1304"/>
      <c r="Q974" s="1304"/>
      <c r="R974" s="1304"/>
      <c r="S974" s="1304"/>
      <c r="T974" s="1304"/>
      <c r="U974" s="1304"/>
      <c r="V974" s="1304"/>
      <c r="W974" s="1304"/>
      <c r="X974" s="1304"/>
      <c r="Y974" s="1304"/>
      <c r="Z974" s="1304"/>
      <c r="AA974" s="1304"/>
      <c r="AB974" s="1304"/>
      <c r="AC974" s="1304"/>
      <c r="AD974" s="1304"/>
      <c r="AE974" s="1305"/>
      <c r="AF974" s="65"/>
      <c r="AG974" s="21"/>
      <c r="AH974" s="21"/>
      <c r="AI974" s="69"/>
      <c r="AJ974" s="1294"/>
      <c r="AK974" s="1295"/>
      <c r="AL974" s="1295"/>
      <c r="AM974" s="1295"/>
      <c r="AN974" s="1295"/>
      <c r="AO974" s="1295"/>
      <c r="AP974" s="1295"/>
      <c r="AQ974" s="1296"/>
    </row>
    <row r="975" spans="1:97" ht="13.35" customHeight="1">
      <c r="A975" s="21"/>
      <c r="B975" s="65"/>
      <c r="C975" s="478" t="s">
        <v>18</v>
      </c>
      <c r="D975" s="1287" t="s">
        <v>1647</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5"/>
      <c r="Z975" s="1095"/>
      <c r="AA975" s="1095"/>
      <c r="AB975" s="1095"/>
      <c r="AC975" s="1095"/>
      <c r="AD975" s="1095"/>
      <c r="AE975" s="1288"/>
      <c r="AF975" s="68"/>
      <c r="AG975" s="1289" t="s">
        <v>712</v>
      </c>
      <c r="AH975" s="1290"/>
      <c r="AI975" s="71"/>
      <c r="AJ975" s="1291">
        <f>ROUND(IF(AG975="yes",(AJ939*0.15),0),0)</f>
        <v>0</v>
      </c>
      <c r="AK975" s="1292"/>
      <c r="AL975" s="1292"/>
      <c r="AM975" s="1292"/>
      <c r="AN975" s="1292"/>
      <c r="AO975" s="1292"/>
      <c r="AP975" s="1292"/>
      <c r="AQ975" s="1293"/>
    </row>
    <row r="976" spans="1:97" ht="13.35" customHeight="1">
      <c r="A976" s="21"/>
      <c r="B976" s="65"/>
      <c r="C976" s="479"/>
      <c r="D976" s="1472" t="s">
        <v>1648</v>
      </c>
      <c r="E976" s="941"/>
      <c r="F976" s="941"/>
      <c r="G976" s="941"/>
      <c r="H976" s="941"/>
      <c r="I976" s="941"/>
      <c r="J976" s="941"/>
      <c r="K976" s="941"/>
      <c r="L976" s="941"/>
      <c r="M976" s="941"/>
      <c r="N976" s="941"/>
      <c r="O976" s="941"/>
      <c r="P976" s="941"/>
      <c r="Q976" s="941"/>
      <c r="R976" s="941"/>
      <c r="S976" s="941"/>
      <c r="T976" s="941"/>
      <c r="U976" s="941"/>
      <c r="V976" s="941"/>
      <c r="W976" s="941"/>
      <c r="X976" s="941"/>
      <c r="Y976" s="941"/>
      <c r="Z976" s="941"/>
      <c r="AA976" s="941"/>
      <c r="AB976" s="941"/>
      <c r="AC976" s="941"/>
      <c r="AD976" s="941"/>
      <c r="AE976" s="1473"/>
      <c r="AF976" s="779"/>
      <c r="AG976" s="780"/>
      <c r="AH976" s="780"/>
      <c r="AI976" s="781"/>
      <c r="AJ976" s="1297"/>
      <c r="AK976" s="1298"/>
      <c r="AL976" s="1298"/>
      <c r="AM976" s="1298"/>
      <c r="AN976" s="1298"/>
      <c r="AO976" s="1298"/>
      <c r="AP976" s="1298"/>
      <c r="AQ976" s="1299"/>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35" customHeight="1">
      <c r="A977" s="21"/>
      <c r="B977" s="65"/>
      <c r="C977" s="479"/>
      <c r="D977" s="1472"/>
      <c r="E977" s="941"/>
      <c r="F977" s="941"/>
      <c r="G977" s="941"/>
      <c r="H977" s="941"/>
      <c r="I977" s="941"/>
      <c r="J977" s="941"/>
      <c r="K977" s="941"/>
      <c r="L977" s="941"/>
      <c r="M977" s="941"/>
      <c r="N977" s="941"/>
      <c r="O977" s="941"/>
      <c r="P977" s="941"/>
      <c r="Q977" s="941"/>
      <c r="R977" s="941"/>
      <c r="S977" s="941"/>
      <c r="T977" s="941"/>
      <c r="U977" s="941"/>
      <c r="V977" s="941"/>
      <c r="W977" s="941"/>
      <c r="X977" s="941"/>
      <c r="Y977" s="941"/>
      <c r="Z977" s="941"/>
      <c r="AA977" s="941"/>
      <c r="AB977" s="941"/>
      <c r="AC977" s="941"/>
      <c r="AD977" s="941"/>
      <c r="AE977" s="1473"/>
      <c r="AF977" s="779"/>
      <c r="AG977" s="780"/>
      <c r="AH977" s="780"/>
      <c r="AI977" s="781"/>
      <c r="AJ977" s="1297"/>
      <c r="AK977" s="1298"/>
      <c r="AL977" s="1298"/>
      <c r="AM977" s="1298"/>
      <c r="AN977" s="1298"/>
      <c r="AO977" s="1298"/>
      <c r="AP977" s="1298"/>
      <c r="AQ977" s="1299"/>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35" customHeight="1">
      <c r="A978" s="21"/>
      <c r="B978" s="65"/>
      <c r="C978" s="479"/>
      <c r="D978" s="1474"/>
      <c r="E978" s="1326"/>
      <c r="F978" s="1326"/>
      <c r="G978" s="1326"/>
      <c r="H978" s="1326"/>
      <c r="I978" s="1326"/>
      <c r="J978" s="1326"/>
      <c r="K978" s="1326"/>
      <c r="L978" s="1326"/>
      <c r="M978" s="1326"/>
      <c r="N978" s="1326"/>
      <c r="O978" s="1326"/>
      <c r="P978" s="1326"/>
      <c r="Q978" s="1326"/>
      <c r="R978" s="1326"/>
      <c r="S978" s="1326"/>
      <c r="T978" s="1326"/>
      <c r="U978" s="1326"/>
      <c r="V978" s="1326"/>
      <c r="W978" s="1326"/>
      <c r="X978" s="1326"/>
      <c r="Y978" s="1326"/>
      <c r="Z978" s="1326"/>
      <c r="AA978" s="1326"/>
      <c r="AB978" s="1326"/>
      <c r="AC978" s="1326"/>
      <c r="AD978" s="1326"/>
      <c r="AE978" s="1475"/>
      <c r="AF978" s="782"/>
      <c r="AG978" s="783"/>
      <c r="AH978" s="783"/>
      <c r="AI978" s="784"/>
      <c r="AJ978" s="1294"/>
      <c r="AK978" s="1295"/>
      <c r="AL978" s="1295"/>
      <c r="AM978" s="1295"/>
      <c r="AN978" s="1295"/>
      <c r="AO978" s="1295"/>
      <c r="AP978" s="1295"/>
      <c r="AQ978" s="1296"/>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35" customHeight="1">
      <c r="A979" s="900"/>
      <c r="B979" s="65"/>
      <c r="C979" s="478" t="s">
        <v>18</v>
      </c>
      <c r="D979" s="1314" t="s">
        <v>1649</v>
      </c>
      <c r="E979" s="1315"/>
      <c r="F979" s="1315"/>
      <c r="G979" s="1315"/>
      <c r="H979" s="1315"/>
      <c r="I979" s="1315"/>
      <c r="J979" s="1315"/>
      <c r="K979" s="1315"/>
      <c r="L979" s="1315"/>
      <c r="M979" s="1315"/>
      <c r="N979" s="1315"/>
      <c r="O979" s="1315"/>
      <c r="P979" s="1315"/>
      <c r="Q979" s="1315"/>
      <c r="R979" s="1315"/>
      <c r="S979" s="1315"/>
      <c r="T979" s="1315"/>
      <c r="U979" s="1315"/>
      <c r="V979" s="1315"/>
      <c r="W979" s="1315"/>
      <c r="X979" s="1315"/>
      <c r="Y979" s="1315"/>
      <c r="Z979" s="1315"/>
      <c r="AA979" s="1315"/>
      <c r="AB979" s="1315"/>
      <c r="AC979" s="1315"/>
      <c r="AD979" s="1315"/>
      <c r="AE979" s="1316"/>
      <c r="AF979" s="65"/>
      <c r="AG979" s="1470" t="s">
        <v>712</v>
      </c>
      <c r="AH979" s="1471"/>
      <c r="AI979" s="69"/>
      <c r="AJ979" s="1291">
        <f>ROUND(IF(AG979="yes",(AJ939*0.1),0),0)</f>
        <v>0</v>
      </c>
      <c r="AK979" s="1292"/>
      <c r="AL979" s="1292"/>
      <c r="AM979" s="1292"/>
      <c r="AN979" s="1292"/>
      <c r="AO979" s="1292"/>
      <c r="AP979" s="1292"/>
      <c r="AQ979" s="1293"/>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35" customHeight="1">
      <c r="A980" s="900"/>
      <c r="B980" s="65"/>
      <c r="C980" s="479"/>
      <c r="D980" s="1472" t="s">
        <v>1650</v>
      </c>
      <c r="E980" s="941"/>
      <c r="F980" s="941"/>
      <c r="G980" s="941"/>
      <c r="H980" s="941"/>
      <c r="I980" s="941"/>
      <c r="J980" s="941"/>
      <c r="K980" s="941"/>
      <c r="L980" s="941"/>
      <c r="M980" s="941"/>
      <c r="N980" s="941"/>
      <c r="O980" s="941"/>
      <c r="P980" s="941"/>
      <c r="Q980" s="941"/>
      <c r="R980" s="941"/>
      <c r="S980" s="941"/>
      <c r="T980" s="941"/>
      <c r="U980" s="941"/>
      <c r="V980" s="941"/>
      <c r="W980" s="941"/>
      <c r="X980" s="941"/>
      <c r="Y980" s="941"/>
      <c r="Z980" s="941"/>
      <c r="AA980" s="941"/>
      <c r="AB980" s="941"/>
      <c r="AC980" s="941"/>
      <c r="AD980" s="941"/>
      <c r="AE980" s="1473"/>
      <c r="AF980" s="65"/>
      <c r="AG980" s="21"/>
      <c r="AH980" s="21"/>
      <c r="AI980" s="69"/>
      <c r="AJ980" s="1297"/>
      <c r="AK980" s="1298"/>
      <c r="AL980" s="1298"/>
      <c r="AM980" s="1298"/>
      <c r="AN980" s="1298"/>
      <c r="AO980" s="1298"/>
      <c r="AP980" s="1298"/>
      <c r="AQ980" s="1299"/>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35" customHeight="1">
      <c r="A981" s="900"/>
      <c r="B981" s="65"/>
      <c r="C981" s="479"/>
      <c r="D981" s="1472"/>
      <c r="E981" s="941"/>
      <c r="F981" s="941"/>
      <c r="G981" s="941"/>
      <c r="H981" s="941"/>
      <c r="I981" s="941"/>
      <c r="J981" s="941"/>
      <c r="K981" s="941"/>
      <c r="L981" s="941"/>
      <c r="M981" s="941"/>
      <c r="N981" s="941"/>
      <c r="O981" s="941"/>
      <c r="P981" s="941"/>
      <c r="Q981" s="941"/>
      <c r="R981" s="941"/>
      <c r="S981" s="941"/>
      <c r="T981" s="941"/>
      <c r="U981" s="941"/>
      <c r="V981" s="941"/>
      <c r="W981" s="941"/>
      <c r="X981" s="941"/>
      <c r="Y981" s="941"/>
      <c r="Z981" s="941"/>
      <c r="AA981" s="941"/>
      <c r="AB981" s="941"/>
      <c r="AC981" s="941"/>
      <c r="AD981" s="941"/>
      <c r="AE981" s="1473"/>
      <c r="AF981" s="65"/>
      <c r="AG981" s="21"/>
      <c r="AH981" s="21"/>
      <c r="AI981" s="69"/>
      <c r="AJ981" s="1297"/>
      <c r="AK981" s="1298"/>
      <c r="AL981" s="1298"/>
      <c r="AM981" s="1298"/>
      <c r="AN981" s="1298"/>
      <c r="AO981" s="1298"/>
      <c r="AP981" s="1298"/>
      <c r="AQ981" s="1299"/>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35" customHeight="1">
      <c r="A982" s="900"/>
      <c r="B982" s="65"/>
      <c r="C982" s="479"/>
      <c r="D982" s="1472"/>
      <c r="E982" s="941"/>
      <c r="F982" s="941"/>
      <c r="G982" s="941"/>
      <c r="H982" s="941"/>
      <c r="I982" s="941"/>
      <c r="J982" s="941"/>
      <c r="K982" s="941"/>
      <c r="L982" s="941"/>
      <c r="M982" s="941"/>
      <c r="N982" s="941"/>
      <c r="O982" s="941"/>
      <c r="P982" s="941"/>
      <c r="Q982" s="941"/>
      <c r="R982" s="941"/>
      <c r="S982" s="941"/>
      <c r="T982" s="941"/>
      <c r="U982" s="941"/>
      <c r="V982" s="941"/>
      <c r="W982" s="941"/>
      <c r="X982" s="941"/>
      <c r="Y982" s="941"/>
      <c r="Z982" s="941"/>
      <c r="AA982" s="941"/>
      <c r="AB982" s="941"/>
      <c r="AC982" s="941"/>
      <c r="AD982" s="941"/>
      <c r="AE982" s="1473"/>
      <c r="AF982" s="65"/>
      <c r="AG982" s="21"/>
      <c r="AH982" s="21"/>
      <c r="AI982" s="69"/>
      <c r="AJ982" s="1297"/>
      <c r="AK982" s="1298"/>
      <c r="AL982" s="1298"/>
      <c r="AM982" s="1298"/>
      <c r="AN982" s="1298"/>
      <c r="AO982" s="1298"/>
      <c r="AP982" s="1298"/>
      <c r="AQ982" s="1299"/>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35" customHeight="1">
      <c r="A983" s="900"/>
      <c r="B983" s="65"/>
      <c r="C983" s="479"/>
      <c r="D983" s="1474"/>
      <c r="E983" s="1326"/>
      <c r="F983" s="1326"/>
      <c r="G983" s="1326"/>
      <c r="H983" s="1326"/>
      <c r="I983" s="1326"/>
      <c r="J983" s="1326"/>
      <c r="K983" s="1326"/>
      <c r="L983" s="1326"/>
      <c r="M983" s="1326"/>
      <c r="N983" s="1326"/>
      <c r="O983" s="1326"/>
      <c r="P983" s="1326"/>
      <c r="Q983" s="1326"/>
      <c r="R983" s="1326"/>
      <c r="S983" s="1326"/>
      <c r="T983" s="1326"/>
      <c r="U983" s="1326"/>
      <c r="V983" s="1326"/>
      <c r="W983" s="1326"/>
      <c r="X983" s="1326"/>
      <c r="Y983" s="1326"/>
      <c r="Z983" s="1326"/>
      <c r="AA983" s="1326"/>
      <c r="AB983" s="1326"/>
      <c r="AC983" s="1326"/>
      <c r="AD983" s="1326"/>
      <c r="AE983" s="1475"/>
      <c r="AF983" s="65"/>
      <c r="AG983" s="21"/>
      <c r="AH983" s="21"/>
      <c r="AI983" s="69"/>
      <c r="AJ983" s="1297"/>
      <c r="AK983" s="1298"/>
      <c r="AL983" s="1298"/>
      <c r="AM983" s="1298"/>
      <c r="AN983" s="1298"/>
      <c r="AO983" s="1298"/>
      <c r="AP983" s="1298"/>
      <c r="AQ983" s="1299"/>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35" customHeight="1">
      <c r="A984" s="900"/>
      <c r="B984" s="68"/>
      <c r="C984" s="785" t="s">
        <v>1651</v>
      </c>
      <c r="D984" s="1287" t="s">
        <v>1652</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5"/>
      <c r="Z984" s="1095"/>
      <c r="AA984" s="1095"/>
      <c r="AB984" s="1095"/>
      <c r="AC984" s="1095"/>
      <c r="AD984" s="1095"/>
      <c r="AE984" s="1288"/>
      <c r="AF984" s="68"/>
      <c r="AG984" s="1289" t="s">
        <v>712</v>
      </c>
      <c r="AH984" s="1290"/>
      <c r="AI984" s="71"/>
      <c r="AJ984" s="1291">
        <f>ROUND(IF(AG984="yes",(AJ939*0.1),0),0)</f>
        <v>0</v>
      </c>
      <c r="AK984" s="1292"/>
      <c r="AL984" s="1292"/>
      <c r="AM984" s="1292"/>
      <c r="AN984" s="1292"/>
      <c r="AO984" s="1292"/>
      <c r="AP984" s="1292"/>
      <c r="AQ984" s="1293"/>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35" customHeight="1">
      <c r="A985" s="900"/>
      <c r="B985" s="65"/>
      <c r="C985" s="479"/>
      <c r="D985" s="1300" t="s">
        <v>1653</v>
      </c>
      <c r="E985" s="1301"/>
      <c r="F985" s="1301"/>
      <c r="G985" s="1301"/>
      <c r="H985" s="1301"/>
      <c r="I985" s="1301"/>
      <c r="J985" s="1301"/>
      <c r="K985" s="1301"/>
      <c r="L985" s="1301"/>
      <c r="M985" s="1301"/>
      <c r="N985" s="1301"/>
      <c r="O985" s="1301"/>
      <c r="P985" s="1301"/>
      <c r="Q985" s="1301"/>
      <c r="R985" s="1301"/>
      <c r="S985" s="1301"/>
      <c r="T985" s="1301"/>
      <c r="U985" s="1301"/>
      <c r="V985" s="1301"/>
      <c r="W985" s="1301"/>
      <c r="X985" s="1301"/>
      <c r="Y985" s="1301"/>
      <c r="Z985" s="1301"/>
      <c r="AA985" s="1301"/>
      <c r="AB985" s="1301"/>
      <c r="AC985" s="1301"/>
      <c r="AD985" s="1301"/>
      <c r="AE985" s="1302"/>
      <c r="AF985" s="65"/>
      <c r="AG985" s="21"/>
      <c r="AH985" s="21"/>
      <c r="AI985" s="69"/>
      <c r="AJ985" s="1297"/>
      <c r="AK985" s="1298"/>
      <c r="AL985" s="1298"/>
      <c r="AM985" s="1298"/>
      <c r="AN985" s="1298"/>
      <c r="AO985" s="1298"/>
      <c r="AP985" s="1298"/>
      <c r="AQ985" s="1299"/>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35" customHeight="1">
      <c r="A986" s="900"/>
      <c r="B986" s="65"/>
      <c r="C986" s="479"/>
      <c r="D986" s="1300"/>
      <c r="E986" s="1301"/>
      <c r="F986" s="1301"/>
      <c r="G986" s="1301"/>
      <c r="H986" s="1301"/>
      <c r="I986" s="1301"/>
      <c r="J986" s="1301"/>
      <c r="K986" s="1301"/>
      <c r="L986" s="1301"/>
      <c r="M986" s="1301"/>
      <c r="N986" s="1301"/>
      <c r="O986" s="1301"/>
      <c r="P986" s="1301"/>
      <c r="Q986" s="1301"/>
      <c r="R986" s="1301"/>
      <c r="S986" s="1301"/>
      <c r="T986" s="1301"/>
      <c r="U986" s="1301"/>
      <c r="V986" s="1301"/>
      <c r="W986" s="1301"/>
      <c r="X986" s="1301"/>
      <c r="Y986" s="1301"/>
      <c r="Z986" s="1301"/>
      <c r="AA986" s="1301"/>
      <c r="AB986" s="1301"/>
      <c r="AC986" s="1301"/>
      <c r="AD986" s="1301"/>
      <c r="AE986" s="1302"/>
      <c r="AF986" s="65"/>
      <c r="AG986" s="21"/>
      <c r="AH986" s="21"/>
      <c r="AI986" s="69"/>
      <c r="AJ986" s="1297"/>
      <c r="AK986" s="1298"/>
      <c r="AL986" s="1298"/>
      <c r="AM986" s="1298"/>
      <c r="AN986" s="1298"/>
      <c r="AO986" s="1298"/>
      <c r="AP986" s="1298"/>
      <c r="AQ986" s="1299"/>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35" customHeight="1">
      <c r="A987" s="900"/>
      <c r="B987" s="65"/>
      <c r="C987" s="479"/>
      <c r="D987" s="1303"/>
      <c r="E987" s="1304"/>
      <c r="F987" s="1304"/>
      <c r="G987" s="1304"/>
      <c r="H987" s="1304"/>
      <c r="I987" s="1304"/>
      <c r="J987" s="1304"/>
      <c r="K987" s="1304"/>
      <c r="L987" s="1304"/>
      <c r="M987" s="1304"/>
      <c r="N987" s="1304"/>
      <c r="O987" s="1304"/>
      <c r="P987" s="1304"/>
      <c r="Q987" s="1304"/>
      <c r="R987" s="1304"/>
      <c r="S987" s="1304"/>
      <c r="T987" s="1304"/>
      <c r="U987" s="1304"/>
      <c r="V987" s="1304"/>
      <c r="W987" s="1304"/>
      <c r="X987" s="1304"/>
      <c r="Y987" s="1304"/>
      <c r="Z987" s="1304"/>
      <c r="AA987" s="1304"/>
      <c r="AB987" s="1304"/>
      <c r="AC987" s="1304"/>
      <c r="AD987" s="1304"/>
      <c r="AE987" s="1305"/>
      <c r="AF987" s="65"/>
      <c r="AG987" s="21"/>
      <c r="AH987" s="21"/>
      <c r="AI987" s="69"/>
      <c r="AJ987" s="1294"/>
      <c r="AK987" s="1295"/>
      <c r="AL987" s="1295"/>
      <c r="AM987" s="1295"/>
      <c r="AN987" s="1295"/>
      <c r="AO987" s="1295"/>
      <c r="AP987" s="1295"/>
      <c r="AQ987" s="1296"/>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35" customHeight="1">
      <c r="A988" s="900"/>
      <c r="B988" s="155"/>
      <c r="C988" s="786"/>
      <c r="D988" s="1309" t="s">
        <v>1654</v>
      </c>
      <c r="E988" s="1309"/>
      <c r="F988" s="1309"/>
      <c r="G988" s="1309"/>
      <c r="H988" s="1309"/>
      <c r="I988" s="1309"/>
      <c r="J988" s="1309"/>
      <c r="K988" s="1309"/>
      <c r="L988" s="1309"/>
      <c r="M988" s="1309"/>
      <c r="N988" s="1309"/>
      <c r="O988" s="1309"/>
      <c r="P988" s="1309"/>
      <c r="Q988" s="1309"/>
      <c r="R988" s="1309"/>
      <c r="S988" s="1309"/>
      <c r="T988" s="1309"/>
      <c r="U988" s="1309"/>
      <c r="V988" s="1309"/>
      <c r="W988" s="1309"/>
      <c r="X988" s="1309"/>
      <c r="Y988" s="1309"/>
      <c r="Z988" s="1309"/>
      <c r="AA988" s="1309"/>
      <c r="AB988" s="1309"/>
      <c r="AC988" s="1309"/>
      <c r="AD988" s="1309"/>
      <c r="AE988" s="1309"/>
      <c r="AF988" s="1309"/>
      <c r="AG988" s="1309"/>
      <c r="AH988" s="1309"/>
      <c r="AI988" s="1310"/>
      <c r="AJ988" s="1311">
        <f>SUM(AJ939:AQ987)</f>
        <v>27203485</v>
      </c>
      <c r="AK988" s="1312"/>
      <c r="AL988" s="1312"/>
      <c r="AM988" s="1312"/>
      <c r="AN988" s="1312"/>
      <c r="AO988" s="1312"/>
      <c r="AP988" s="1312"/>
      <c r="AQ988" s="1313"/>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35" customHeight="1">
      <c r="A989" s="900"/>
      <c r="B989" s="21"/>
      <c r="C989" s="901"/>
      <c r="D989" s="299"/>
      <c r="E989" s="299"/>
      <c r="F989" s="299"/>
      <c r="G989" s="299"/>
      <c r="H989" s="299"/>
      <c r="I989" s="299"/>
      <c r="J989" s="299"/>
      <c r="K989" s="299"/>
      <c r="L989" s="299"/>
      <c r="M989" s="299"/>
      <c r="N989" s="299"/>
      <c r="O989" s="299"/>
      <c r="P989" s="299"/>
      <c r="Q989" s="299"/>
      <c r="R989" s="299"/>
      <c r="S989" s="299"/>
      <c r="T989" s="299"/>
      <c r="U989" s="299"/>
      <c r="V989" s="299"/>
      <c r="W989" s="299"/>
      <c r="X989" s="299"/>
      <c r="Y989" s="299"/>
      <c r="Z989" s="299"/>
      <c r="AA989" s="299"/>
      <c r="AB989" s="299"/>
      <c r="AC989" s="299"/>
      <c r="AD989" s="297"/>
      <c r="AE989" s="297"/>
      <c r="AF989" s="297"/>
      <c r="AG989" s="297"/>
      <c r="AH989" s="297"/>
      <c r="AI989" s="297"/>
      <c r="AJ989" s="297"/>
      <c r="AK989" s="29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35" customHeight="1">
      <c r="A990" s="900"/>
      <c r="B990" s="21"/>
      <c r="C990" s="901"/>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97"/>
      <c r="AE990" s="297"/>
      <c r="AF990" s="297"/>
      <c r="AG990" s="297"/>
      <c r="AH990" s="297"/>
      <c r="AI990" s="297"/>
      <c r="AJ990" s="297"/>
      <c r="AK990" s="29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35" customHeight="1">
      <c r="A991" s="900"/>
      <c r="B991" s="21"/>
      <c r="C991" s="901"/>
      <c r="D991" s="298" t="s">
        <v>1655</v>
      </c>
      <c r="E991" s="299"/>
      <c r="F991" s="299"/>
      <c r="G991" s="299"/>
      <c r="H991" s="299"/>
      <c r="I991" s="299"/>
      <c r="J991" s="299"/>
      <c r="K991" s="299"/>
      <c r="L991" s="299"/>
      <c r="M991" s="299"/>
      <c r="N991" s="299"/>
      <c r="O991" s="299"/>
      <c r="P991" s="299"/>
      <c r="Q991" s="299"/>
      <c r="R991" s="299"/>
      <c r="S991" s="299"/>
      <c r="T991" s="299"/>
      <c r="U991" s="299"/>
      <c r="V991" s="299"/>
      <c r="W991" s="299"/>
      <c r="X991" s="299"/>
      <c r="Y991" s="299"/>
      <c r="Z991" s="299"/>
      <c r="AA991" s="299"/>
      <c r="AB991" s="299"/>
      <c r="AC991" s="299"/>
      <c r="AD991" s="297"/>
      <c r="AE991" s="297"/>
      <c r="AF991" s="297"/>
      <c r="AG991" s="297"/>
      <c r="AH991" s="297"/>
      <c r="AI991" s="297"/>
      <c r="AJ991" s="297"/>
      <c r="AK991" s="29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35" customHeight="1">
      <c r="A992" s="900"/>
      <c r="B992" s="21"/>
      <c r="C992" s="901"/>
      <c r="D992" s="902" t="s">
        <v>1656</v>
      </c>
      <c r="E992" s="903"/>
      <c r="F992" s="903"/>
      <c r="G992" s="903"/>
      <c r="H992" s="903"/>
      <c r="I992" s="903"/>
      <c r="J992" s="903"/>
      <c r="K992" s="903"/>
      <c r="L992" s="903"/>
      <c r="M992" s="903"/>
      <c r="N992" s="903"/>
      <c r="O992" s="903"/>
      <c r="P992" s="903"/>
      <c r="Q992" s="903"/>
      <c r="R992" s="903"/>
      <c r="S992" s="903"/>
      <c r="T992" s="903"/>
      <c r="U992" s="903"/>
      <c r="V992" s="903"/>
      <c r="W992" s="903"/>
      <c r="X992" s="1282">
        <f>'Sources and Uses Budget'!S106+'Sources and Uses Budget'!T106</f>
        <v>19835850</v>
      </c>
      <c r="Y992" s="1282"/>
      <c r="Z992" s="1282"/>
      <c r="AA992" s="1282"/>
      <c r="AB992" s="1282"/>
      <c r="AC992" s="1282"/>
      <c r="AD992" s="297"/>
      <c r="AE992" s="297"/>
      <c r="AF992" s="297"/>
      <c r="AG992" s="297"/>
      <c r="AH992" s="297"/>
      <c r="AI992" s="297"/>
      <c r="AJ992" s="297"/>
      <c r="AK992" s="29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35" customHeight="1">
      <c r="A993" s="900"/>
      <c r="B993" s="21"/>
      <c r="C993" s="901"/>
      <c r="D993" s="902"/>
      <c r="E993" s="902" t="s">
        <v>1657</v>
      </c>
      <c r="F993" s="903"/>
      <c r="G993" s="903"/>
      <c r="H993" s="903"/>
      <c r="I993" s="903"/>
      <c r="J993" s="903"/>
      <c r="K993" s="903"/>
      <c r="L993" s="903"/>
      <c r="M993" s="903"/>
      <c r="N993" s="903"/>
      <c r="O993" s="903"/>
      <c r="P993" s="903"/>
      <c r="Q993" s="903"/>
      <c r="R993" s="903"/>
      <c r="S993" s="903"/>
      <c r="T993" s="903"/>
      <c r="U993" s="903"/>
      <c r="V993" s="903"/>
      <c r="W993" s="903"/>
      <c r="X993" s="1278">
        <f>IFERROR(X992/AJ988,"")</f>
        <v>0.7291657668125977</v>
      </c>
      <c r="Y993" s="1279"/>
      <c r="Z993" s="1279"/>
      <c r="AA993" s="1279"/>
      <c r="AB993" s="1279"/>
      <c r="AC993" s="1280"/>
      <c r="AD993" s="297"/>
      <c r="AE993" s="297"/>
      <c r="AF993" s="297"/>
      <c r="AG993" s="297"/>
      <c r="AH993" s="297"/>
      <c r="AI993" s="297"/>
      <c r="AJ993" s="297"/>
      <c r="AK993" s="29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35" customHeight="1">
      <c r="A994" s="900"/>
      <c r="B994" s="21"/>
      <c r="C994" s="901"/>
      <c r="D994" s="109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5"/>
      <c r="Z994" s="1095"/>
      <c r="AA994" s="1095"/>
      <c r="AB994" s="1095"/>
      <c r="AC994" s="1095"/>
      <c r="AD994" s="1095"/>
      <c r="AE994" s="1095"/>
      <c r="AF994" s="1095"/>
      <c r="AG994" s="1095"/>
      <c r="AH994" s="1095"/>
      <c r="AI994" s="1095"/>
      <c r="AJ994" s="1095"/>
      <c r="AK994" s="1095"/>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35" customHeight="1">
      <c r="A995" s="900"/>
      <c r="B995" s="21"/>
      <c r="C995" s="901"/>
      <c r="D995" s="1095"/>
      <c r="E995" s="1095"/>
      <c r="F995" s="1095"/>
      <c r="G995" s="1095"/>
      <c r="H995" s="1095"/>
      <c r="I995" s="1095"/>
      <c r="J995" s="1095"/>
      <c r="K995" s="1095"/>
      <c r="L995" s="1095"/>
      <c r="M995" s="1095"/>
      <c r="N995" s="1095"/>
      <c r="O995" s="1095"/>
      <c r="P995" s="1095"/>
      <c r="Q995" s="1095"/>
      <c r="R995" s="1095"/>
      <c r="S995" s="1095"/>
      <c r="T995" s="1095"/>
      <c r="U995" s="1095"/>
      <c r="V995" s="1095"/>
      <c r="W995" s="1095"/>
      <c r="X995" s="1095"/>
      <c r="Y995" s="1095"/>
      <c r="Z995" s="1095"/>
      <c r="AA995" s="1095"/>
      <c r="AB995" s="1095"/>
      <c r="AC995" s="1095"/>
      <c r="AD995" s="1095"/>
      <c r="AE995" s="1095"/>
      <c r="AF995" s="1095"/>
      <c r="AG995" s="1095"/>
      <c r="AH995" s="1095"/>
      <c r="AI995" s="1095"/>
      <c r="AJ995" s="1095"/>
      <c r="AK995" s="1095"/>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35" customHeight="1">
      <c r="A996" s="900"/>
      <c r="C996" s="901"/>
      <c r="D996" s="1095"/>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5"/>
      <c r="Z996" s="1095"/>
      <c r="AA996" s="1095"/>
      <c r="AB996" s="1095"/>
      <c r="AC996" s="1095"/>
      <c r="AD996" s="1095"/>
      <c r="AE996" s="1095"/>
      <c r="AF996" s="1095"/>
      <c r="AG996" s="1095"/>
      <c r="AH996" s="1095"/>
      <c r="AI996" s="1095"/>
      <c r="AJ996" s="1095"/>
      <c r="AK996" s="1095"/>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35" hidden="1" customHeight="1">
      <c r="A997" s="900"/>
      <c r="B997" s="855"/>
      <c r="C997" s="855"/>
      <c r="D997" s="855"/>
      <c r="E997" s="855"/>
      <c r="F997" s="855"/>
      <c r="G997" s="855"/>
      <c r="H997" s="855"/>
      <c r="I997" s="855"/>
      <c r="J997" s="855"/>
      <c r="K997" s="855"/>
      <c r="L997" s="855"/>
      <c r="M997" s="855"/>
      <c r="N997" s="855"/>
      <c r="O997" s="855"/>
      <c r="P997" s="855"/>
      <c r="Q997" s="855"/>
      <c r="R997" s="855"/>
      <c r="S997" s="855"/>
      <c r="T997" s="855"/>
      <c r="U997" s="855"/>
      <c r="V997" s="855"/>
      <c r="W997" s="855"/>
      <c r="X997" s="855"/>
      <c r="Y997" s="855"/>
      <c r="Z997" s="855"/>
      <c r="AA997" s="855"/>
      <c r="AB997" s="855"/>
      <c r="AC997" s="855"/>
      <c r="AD997" s="855"/>
      <c r="AE997" s="855"/>
      <c r="AF997" s="855"/>
      <c r="AG997" s="855"/>
      <c r="AH997" s="855"/>
      <c r="AI997" s="855"/>
      <c r="AJ997" s="855"/>
      <c r="AK997" s="855"/>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35" hidden="1" customHeight="1">
      <c r="A998" s="900"/>
      <c r="B998" s="855"/>
      <c r="C998" s="855"/>
      <c r="D998" s="855"/>
      <c r="E998" s="855"/>
      <c r="F998" s="855"/>
      <c r="G998" s="855"/>
      <c r="H998" s="855"/>
      <c r="I998" s="855"/>
      <c r="J998" s="855"/>
      <c r="K998" s="855"/>
      <c r="L998" s="855"/>
      <c r="M998" s="855"/>
      <c r="N998" s="855"/>
      <c r="O998" s="855"/>
      <c r="P998" s="855"/>
      <c r="Q998" s="855"/>
      <c r="R998" s="855"/>
      <c r="S998" s="855"/>
      <c r="T998" s="855"/>
      <c r="U998" s="855"/>
      <c r="V998" s="855"/>
      <c r="W998" s="855"/>
      <c r="X998" s="855"/>
      <c r="Y998" s="855"/>
      <c r="Z998" s="855"/>
      <c r="AA998" s="855"/>
      <c r="AB998" s="855"/>
      <c r="AC998" s="855"/>
      <c r="AD998" s="855"/>
      <c r="AE998" s="855"/>
      <c r="AF998" s="855"/>
      <c r="AG998" s="855"/>
      <c r="AH998" s="855"/>
      <c r="AI998" s="855"/>
      <c r="AJ998" s="855"/>
      <c r="AK998" s="855"/>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35" customHeight="1">
      <c r="B999" s="1281"/>
      <c r="C999" s="1281"/>
      <c r="D999" s="1281"/>
      <c r="E999" s="1281"/>
      <c r="F999" s="1281"/>
      <c r="G999" s="1281"/>
      <c r="H999" s="1281"/>
      <c r="I999" s="1281"/>
      <c r="J999" s="1281"/>
      <c r="K999" s="1281"/>
      <c r="L999" s="1281"/>
      <c r="M999" s="1281"/>
      <c r="N999" s="1281"/>
      <c r="O999" s="1281"/>
      <c r="P999" s="1281"/>
      <c r="Q999" s="1281"/>
      <c r="R999" s="1281"/>
      <c r="S999" s="1281"/>
      <c r="T999" s="1281"/>
      <c r="U999" s="1281"/>
      <c r="V999" s="1281"/>
      <c r="W999" s="1281"/>
      <c r="X999" s="1281"/>
      <c r="Y999" s="1281"/>
      <c r="Z999" s="1281"/>
      <c r="AA999" s="1281"/>
      <c r="AB999" s="1281"/>
      <c r="AC999" s="1281"/>
      <c r="AD999" s="1281"/>
      <c r="AE999" s="1281"/>
      <c r="AF999" s="1281"/>
      <c r="AG999" s="1281"/>
      <c r="AH999" s="1281"/>
      <c r="AI999" s="1281"/>
      <c r="AJ999" s="1281"/>
      <c r="AK999" s="1281"/>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35" customHeight="1" thickBot="1">
      <c r="A1000" s="1096" t="s">
        <v>1658</v>
      </c>
      <c r="B1000" s="1096"/>
      <c r="C1000" s="1096"/>
      <c r="D1000" s="1096"/>
      <c r="E1000" s="1096"/>
      <c r="F1000" s="1096"/>
      <c r="G1000" s="1096"/>
      <c r="H1000" s="1096"/>
      <c r="I1000" s="1096"/>
      <c r="J1000" s="1096"/>
      <c r="K1000" s="1096"/>
      <c r="L1000" s="1096"/>
      <c r="M1000" s="1096"/>
      <c r="N1000" s="1096"/>
      <c r="O1000" s="1096"/>
      <c r="P1000" s="1096"/>
      <c r="Q1000" s="1096"/>
      <c r="R1000" s="1096"/>
      <c r="S1000" s="1096"/>
      <c r="T1000" s="1096"/>
      <c r="U1000" s="1096"/>
      <c r="V1000" s="1096"/>
      <c r="W1000" s="1096"/>
      <c r="X1000" s="1096"/>
      <c r="Y1000" s="1096"/>
      <c r="Z1000" s="1096"/>
      <c r="AA1000" s="1096"/>
      <c r="AB1000" s="1096"/>
      <c r="AC1000" s="1096"/>
      <c r="AD1000" s="1096"/>
      <c r="AE1000" s="1096"/>
      <c r="AF1000" s="1096"/>
      <c r="AG1000" s="1096"/>
      <c r="AH1000" s="1096"/>
      <c r="AI1000" s="1096"/>
      <c r="AJ1000" s="1096"/>
      <c r="AK1000" s="1096"/>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3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35" customHeight="1">
      <c r="A1002" s="56" t="s">
        <v>1659</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35" customHeight="1">
      <c r="A1003" s="228" t="s">
        <v>1660</v>
      </c>
      <c r="B1003" s="21"/>
      <c r="C1003" s="21"/>
      <c r="D1003" s="21"/>
      <c r="E1003" s="21"/>
      <c r="F1003" s="21"/>
      <c r="G1003" s="21"/>
      <c r="H1003" s="21"/>
      <c r="I1003" s="21"/>
      <c r="J1003" s="21"/>
      <c r="K1003" s="21"/>
      <c r="L1003" s="21"/>
      <c r="M1003" s="21"/>
      <c r="N1003" s="21"/>
      <c r="O1003" s="21"/>
      <c r="P1003" s="21"/>
      <c r="Q1003" s="18"/>
      <c r="R1003" s="18"/>
      <c r="S1003" s="18"/>
      <c r="T1003" s="18"/>
      <c r="U1003" s="18"/>
      <c r="V1003" s="18"/>
      <c r="W1003" s="18"/>
      <c r="X1003" s="18"/>
      <c r="Y1003" s="18"/>
      <c r="Z1003" s="18"/>
      <c r="AA1003" s="18"/>
      <c r="AB1003" s="18"/>
      <c r="AC1003" s="18"/>
      <c r="AJ1003" s="21"/>
      <c r="AK1003" s="21"/>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s="21" customFormat="1" ht="13.35" customHeight="1">
      <c r="A1004" s="1069" t="s">
        <v>325</v>
      </c>
      <c r="B1004" s="1069"/>
      <c r="C1004" s="12">
        <v>1</v>
      </c>
      <c r="D1004" s="938" t="s">
        <v>1661</v>
      </c>
      <c r="E1004" s="938"/>
      <c r="F1004" s="938"/>
      <c r="G1004" s="938"/>
      <c r="H1004" s="938"/>
      <c r="I1004" s="938"/>
      <c r="J1004" s="938"/>
      <c r="K1004" s="938"/>
      <c r="L1004" s="938"/>
      <c r="M1004" s="938"/>
      <c r="N1004" s="938"/>
      <c r="O1004" s="938"/>
      <c r="P1004" s="938"/>
      <c r="Q1004" s="938"/>
      <c r="R1004" s="938"/>
      <c r="S1004" s="938"/>
      <c r="T1004" s="938"/>
      <c r="U1004" s="938"/>
      <c r="V1004" s="938"/>
      <c r="W1004" s="938"/>
      <c r="X1004" s="938"/>
      <c r="Y1004" s="938"/>
      <c r="Z1004" s="938"/>
      <c r="AA1004" s="938"/>
      <c r="AB1004" s="938"/>
      <c r="AC1004" s="938"/>
      <c r="AD1004" s="938"/>
      <c r="AE1004" s="938"/>
      <c r="AF1004" s="938"/>
      <c r="AG1004" s="938"/>
      <c r="AH1004" s="938"/>
      <c r="AI1004" s="938"/>
      <c r="AJ1004" s="938"/>
      <c r="AK1004" s="938"/>
      <c r="AL1004"/>
      <c r="AM1004" s="34"/>
      <c r="AN1004" s="34"/>
    </row>
    <row r="1005" spans="1:97" s="21" customFormat="1" ht="13.35" customHeight="1">
      <c r="A1005" s="1"/>
      <c r="B1005" s="1"/>
      <c r="C1005" s="12"/>
      <c r="D1005" s="938"/>
      <c r="E1005" s="938"/>
      <c r="F1005" s="938"/>
      <c r="G1005" s="938"/>
      <c r="H1005" s="938"/>
      <c r="I1005" s="938"/>
      <c r="J1005" s="938"/>
      <c r="K1005" s="938"/>
      <c r="L1005" s="938"/>
      <c r="M1005" s="938"/>
      <c r="N1005" s="938"/>
      <c r="O1005" s="938"/>
      <c r="P1005" s="938"/>
      <c r="Q1005" s="938"/>
      <c r="R1005" s="938"/>
      <c r="S1005" s="938"/>
      <c r="T1005" s="938"/>
      <c r="U1005" s="938"/>
      <c r="V1005" s="938"/>
      <c r="W1005" s="938"/>
      <c r="X1005" s="938"/>
      <c r="Y1005" s="938"/>
      <c r="Z1005" s="938"/>
      <c r="AA1005" s="938"/>
      <c r="AB1005" s="938"/>
      <c r="AC1005" s="938"/>
      <c r="AD1005" s="938"/>
      <c r="AE1005" s="938"/>
      <c r="AF1005" s="938"/>
      <c r="AG1005" s="938"/>
      <c r="AH1005" s="938"/>
      <c r="AI1005" s="938"/>
      <c r="AJ1005" s="938"/>
      <c r="AK1005" s="938"/>
      <c r="AL1005"/>
      <c r="AM1005" s="34"/>
      <c r="AN1005" s="34"/>
    </row>
    <row r="1006" spans="1:97" s="21" customFormat="1" ht="13.35" customHeight="1">
      <c r="A1006" s="1"/>
      <c r="B1006" s="1"/>
      <c r="C1006" s="12"/>
      <c r="D1006" s="938"/>
      <c r="E1006" s="938"/>
      <c r="F1006" s="938"/>
      <c r="G1006" s="938"/>
      <c r="H1006" s="938"/>
      <c r="I1006" s="938"/>
      <c r="J1006" s="938"/>
      <c r="K1006" s="938"/>
      <c r="L1006" s="938"/>
      <c r="M1006" s="938"/>
      <c r="N1006" s="938"/>
      <c r="O1006" s="938"/>
      <c r="P1006" s="938"/>
      <c r="Q1006" s="938"/>
      <c r="R1006" s="938"/>
      <c r="S1006" s="938"/>
      <c r="T1006" s="938"/>
      <c r="U1006" s="938"/>
      <c r="V1006" s="938"/>
      <c r="W1006" s="938"/>
      <c r="X1006" s="938"/>
      <c r="Y1006" s="938"/>
      <c r="Z1006" s="938"/>
      <c r="AA1006" s="938"/>
      <c r="AB1006" s="938"/>
      <c r="AC1006" s="938"/>
      <c r="AD1006" s="938"/>
      <c r="AE1006" s="938"/>
      <c r="AF1006" s="938"/>
      <c r="AG1006" s="938"/>
      <c r="AH1006" s="938"/>
      <c r="AI1006" s="938"/>
      <c r="AJ1006" s="938"/>
      <c r="AK1006" s="938"/>
      <c r="AL1006"/>
      <c r="AM1006" s="34"/>
      <c r="AN1006" s="34"/>
    </row>
    <row r="1007" spans="1:97" s="21" customFormat="1" ht="13.35" customHeight="1">
      <c r="A1007" s="1"/>
      <c r="B1007" s="1"/>
      <c r="C1007" s="12"/>
      <c r="D1007" s="938"/>
      <c r="E1007" s="938"/>
      <c r="F1007" s="938"/>
      <c r="G1007" s="938"/>
      <c r="H1007" s="938"/>
      <c r="I1007" s="938"/>
      <c r="J1007" s="938"/>
      <c r="K1007" s="938"/>
      <c r="L1007" s="938"/>
      <c r="M1007" s="938"/>
      <c r="N1007" s="938"/>
      <c r="O1007" s="938"/>
      <c r="P1007" s="938"/>
      <c r="Q1007" s="938"/>
      <c r="R1007" s="938"/>
      <c r="S1007" s="938"/>
      <c r="T1007" s="938"/>
      <c r="U1007" s="938"/>
      <c r="V1007" s="938"/>
      <c r="W1007" s="938"/>
      <c r="X1007" s="938"/>
      <c r="Y1007" s="938"/>
      <c r="Z1007" s="938"/>
      <c r="AA1007" s="938"/>
      <c r="AB1007" s="938"/>
      <c r="AC1007" s="938"/>
      <c r="AD1007" s="938"/>
      <c r="AE1007" s="938"/>
      <c r="AF1007" s="938"/>
      <c r="AG1007" s="938"/>
      <c r="AH1007" s="938"/>
      <c r="AI1007" s="938"/>
      <c r="AJ1007" s="938"/>
      <c r="AK1007" s="938"/>
      <c r="AL1007"/>
      <c r="AM1007" s="34"/>
      <c r="AN1007" s="34"/>
    </row>
    <row r="1008" spans="1:97" s="21" customFormat="1" ht="13.35" customHeight="1">
      <c r="A1008" s="1"/>
      <c r="B1008" s="1"/>
      <c r="C1008" s="12"/>
      <c r="D1008" s="938"/>
      <c r="E1008" s="938"/>
      <c r="F1008" s="938"/>
      <c r="G1008" s="938"/>
      <c r="H1008" s="938"/>
      <c r="I1008" s="938"/>
      <c r="J1008" s="938"/>
      <c r="K1008" s="938"/>
      <c r="L1008" s="938"/>
      <c r="M1008" s="938"/>
      <c r="N1008" s="938"/>
      <c r="O1008" s="938"/>
      <c r="P1008" s="938"/>
      <c r="Q1008" s="938"/>
      <c r="R1008" s="938"/>
      <c r="S1008" s="938"/>
      <c r="T1008" s="938"/>
      <c r="U1008" s="938"/>
      <c r="V1008" s="938"/>
      <c r="W1008" s="938"/>
      <c r="X1008" s="938"/>
      <c r="Y1008" s="938"/>
      <c r="Z1008" s="938"/>
      <c r="AA1008" s="938"/>
      <c r="AB1008" s="938"/>
      <c r="AC1008" s="938"/>
      <c r="AD1008" s="938"/>
      <c r="AE1008" s="938"/>
      <c r="AF1008" s="938"/>
      <c r="AG1008" s="938"/>
      <c r="AH1008" s="938"/>
      <c r="AI1008" s="938"/>
      <c r="AJ1008" s="938"/>
      <c r="AK1008" s="938"/>
      <c r="AL1008"/>
      <c r="AM1008" s="34"/>
      <c r="AN1008" s="34"/>
    </row>
    <row r="1009" spans="1:97" s="21" customFormat="1" ht="13.35" customHeight="1">
      <c r="A1009" s="3"/>
      <c r="B1009" s="29"/>
      <c r="C1009" s="12"/>
      <c r="D1009" s="938"/>
      <c r="E1009" s="938"/>
      <c r="F1009" s="938"/>
      <c r="G1009" s="938"/>
      <c r="H1009" s="938"/>
      <c r="I1009" s="938"/>
      <c r="J1009" s="938"/>
      <c r="K1009" s="938"/>
      <c r="L1009" s="938"/>
      <c r="M1009" s="938"/>
      <c r="N1009" s="938"/>
      <c r="O1009" s="938"/>
      <c r="P1009" s="938"/>
      <c r="Q1009" s="938"/>
      <c r="R1009" s="938"/>
      <c r="S1009" s="938"/>
      <c r="T1009" s="938"/>
      <c r="U1009" s="938"/>
      <c r="V1009" s="938"/>
      <c r="W1009" s="938"/>
      <c r="X1009" s="938"/>
      <c r="Y1009" s="938"/>
      <c r="Z1009" s="938"/>
      <c r="AA1009" s="938"/>
      <c r="AB1009" s="938"/>
      <c r="AC1009" s="938"/>
      <c r="AD1009" s="938"/>
      <c r="AE1009" s="938"/>
      <c r="AF1009" s="938"/>
      <c r="AG1009" s="938"/>
      <c r="AH1009" s="938"/>
      <c r="AI1009" s="938"/>
      <c r="AJ1009" s="938"/>
      <c r="AK1009" s="938"/>
      <c r="AL1009"/>
      <c r="AM1009" s="34"/>
      <c r="AN1009" s="34"/>
    </row>
    <row r="1010" spans="1:97" s="21" customFormat="1" ht="13.35" customHeight="1">
      <c r="A1010" s="1069" t="s">
        <v>325</v>
      </c>
      <c r="B1010" s="1069"/>
      <c r="C1010" s="12">
        <v>2</v>
      </c>
      <c r="D1010" s="938" t="s">
        <v>1662</v>
      </c>
      <c r="E1010" s="938"/>
      <c r="F1010" s="938"/>
      <c r="G1010" s="938"/>
      <c r="H1010" s="938"/>
      <c r="I1010" s="938"/>
      <c r="J1010" s="938"/>
      <c r="K1010" s="938"/>
      <c r="L1010" s="938"/>
      <c r="M1010" s="938"/>
      <c r="N1010" s="938"/>
      <c r="O1010" s="938"/>
      <c r="P1010" s="938"/>
      <c r="Q1010" s="938"/>
      <c r="R1010" s="938"/>
      <c r="S1010" s="938"/>
      <c r="T1010" s="938"/>
      <c r="U1010" s="938"/>
      <c r="V1010" s="938"/>
      <c r="W1010" s="938"/>
      <c r="X1010" s="938"/>
      <c r="Y1010" s="938"/>
      <c r="Z1010" s="938"/>
      <c r="AA1010" s="938"/>
      <c r="AB1010" s="938"/>
      <c r="AC1010" s="938"/>
      <c r="AD1010" s="938"/>
      <c r="AE1010" s="938"/>
      <c r="AF1010" s="938"/>
      <c r="AG1010" s="938"/>
      <c r="AH1010" s="938"/>
      <c r="AI1010" s="938"/>
      <c r="AJ1010" s="938"/>
      <c r="AK1010" s="938"/>
      <c r="AL1010"/>
      <c r="AM1010" s="34"/>
      <c r="AN1010" s="34"/>
    </row>
    <row r="1011" spans="1:97" s="21" customFormat="1" ht="13.35" customHeight="1">
      <c r="A1011" s="1"/>
      <c r="B1011" s="1"/>
      <c r="C1011" s="12"/>
      <c r="D1011" s="938"/>
      <c r="E1011" s="938"/>
      <c r="F1011" s="938"/>
      <c r="G1011" s="938"/>
      <c r="H1011" s="938"/>
      <c r="I1011" s="938"/>
      <c r="J1011" s="938"/>
      <c r="K1011" s="938"/>
      <c r="L1011" s="938"/>
      <c r="M1011" s="938"/>
      <c r="N1011" s="938"/>
      <c r="O1011" s="938"/>
      <c r="P1011" s="938"/>
      <c r="Q1011" s="938"/>
      <c r="R1011" s="938"/>
      <c r="S1011" s="938"/>
      <c r="T1011" s="938"/>
      <c r="U1011" s="938"/>
      <c r="V1011" s="938"/>
      <c r="W1011" s="938"/>
      <c r="X1011" s="938"/>
      <c r="Y1011" s="938"/>
      <c r="Z1011" s="938"/>
      <c r="AA1011" s="938"/>
      <c r="AB1011" s="938"/>
      <c r="AC1011" s="938"/>
      <c r="AD1011" s="938"/>
      <c r="AE1011" s="938"/>
      <c r="AF1011" s="938"/>
      <c r="AG1011" s="938"/>
      <c r="AH1011" s="938"/>
      <c r="AI1011" s="938"/>
      <c r="AJ1011" s="938"/>
      <c r="AK1011" s="938"/>
      <c r="AL1011"/>
      <c r="AM1011" s="34"/>
      <c r="AN1011" s="34"/>
    </row>
    <row r="1012" spans="1:97" s="21" customFormat="1" ht="13.35" customHeight="1">
      <c r="A1012" s="1"/>
      <c r="B1012" s="1"/>
      <c r="C1012" s="12"/>
      <c r="D1012" s="938"/>
      <c r="E1012" s="938"/>
      <c r="F1012" s="938"/>
      <c r="G1012" s="938"/>
      <c r="H1012" s="938"/>
      <c r="I1012" s="938"/>
      <c r="J1012" s="938"/>
      <c r="K1012" s="938"/>
      <c r="L1012" s="938"/>
      <c r="M1012" s="938"/>
      <c r="N1012" s="938"/>
      <c r="O1012" s="938"/>
      <c r="P1012" s="938"/>
      <c r="Q1012" s="938"/>
      <c r="R1012" s="938"/>
      <c r="S1012" s="938"/>
      <c r="T1012" s="938"/>
      <c r="U1012" s="938"/>
      <c r="V1012" s="938"/>
      <c r="W1012" s="938"/>
      <c r="X1012" s="938"/>
      <c r="Y1012" s="938"/>
      <c r="Z1012" s="938"/>
      <c r="AA1012" s="938"/>
      <c r="AB1012" s="938"/>
      <c r="AC1012" s="938"/>
      <c r="AD1012" s="938"/>
      <c r="AE1012" s="938"/>
      <c r="AF1012" s="938"/>
      <c r="AG1012" s="938"/>
      <c r="AH1012" s="938"/>
      <c r="AI1012" s="938"/>
      <c r="AJ1012" s="938"/>
      <c r="AK1012" s="938"/>
      <c r="AL1012"/>
    </row>
    <row r="1013" spans="1:97" s="21" customFormat="1" ht="13.35" customHeight="1">
      <c r="A1013" s="1"/>
      <c r="B1013" s="1"/>
      <c r="C1013" s="12"/>
      <c r="D1013" s="938"/>
      <c r="E1013" s="938"/>
      <c r="F1013" s="938"/>
      <c r="G1013" s="938"/>
      <c r="H1013" s="938"/>
      <c r="I1013" s="938"/>
      <c r="J1013" s="938"/>
      <c r="K1013" s="938"/>
      <c r="L1013" s="938"/>
      <c r="M1013" s="938"/>
      <c r="N1013" s="938"/>
      <c r="O1013" s="938"/>
      <c r="P1013" s="938"/>
      <c r="Q1013" s="938"/>
      <c r="R1013" s="938"/>
      <c r="S1013" s="938"/>
      <c r="T1013" s="938"/>
      <c r="U1013" s="938"/>
      <c r="V1013" s="938"/>
      <c r="W1013" s="938"/>
      <c r="X1013" s="938"/>
      <c r="Y1013" s="938"/>
      <c r="Z1013" s="938"/>
      <c r="AA1013" s="938"/>
      <c r="AB1013" s="938"/>
      <c r="AC1013" s="938"/>
      <c r="AD1013" s="938"/>
      <c r="AE1013" s="938"/>
      <c r="AF1013" s="938"/>
      <c r="AG1013" s="938"/>
      <c r="AH1013" s="938"/>
      <c r="AI1013" s="938"/>
      <c r="AJ1013" s="938"/>
      <c r="AK1013" s="938"/>
      <c r="AL1013"/>
    </row>
    <row r="1014" spans="1:97" s="21" customFormat="1" ht="13.35" customHeight="1">
      <c r="A1014" s="1"/>
      <c r="B1014" s="1"/>
      <c r="C1014" s="12"/>
      <c r="D1014" s="938"/>
      <c r="E1014" s="938"/>
      <c r="F1014" s="938"/>
      <c r="G1014" s="938"/>
      <c r="H1014" s="938"/>
      <c r="I1014" s="938"/>
      <c r="J1014" s="938"/>
      <c r="K1014" s="938"/>
      <c r="L1014" s="938"/>
      <c r="M1014" s="938"/>
      <c r="N1014" s="938"/>
      <c r="O1014" s="938"/>
      <c r="P1014" s="938"/>
      <c r="Q1014" s="938"/>
      <c r="R1014" s="938"/>
      <c r="S1014" s="938"/>
      <c r="T1014" s="938"/>
      <c r="U1014" s="938"/>
      <c r="V1014" s="938"/>
      <c r="W1014" s="938"/>
      <c r="X1014" s="938"/>
      <c r="Y1014" s="938"/>
      <c r="Z1014" s="938"/>
      <c r="AA1014" s="938"/>
      <c r="AB1014" s="938"/>
      <c r="AC1014" s="938"/>
      <c r="AD1014" s="938"/>
      <c r="AE1014" s="938"/>
      <c r="AF1014" s="938"/>
      <c r="AG1014" s="938"/>
      <c r="AH1014" s="938"/>
      <c r="AI1014" s="938"/>
      <c r="AJ1014" s="938"/>
      <c r="AK1014" s="938"/>
      <c r="AL1014"/>
    </row>
    <row r="1015" spans="1:97" ht="13.35" customHeight="1">
      <c r="A1015" s="1"/>
      <c r="B1015" s="1"/>
      <c r="C1015" s="12"/>
      <c r="D1015" s="938"/>
      <c r="E1015" s="938"/>
      <c r="F1015" s="938"/>
      <c r="G1015" s="938"/>
      <c r="H1015" s="938"/>
      <c r="I1015" s="938"/>
      <c r="J1015" s="938"/>
      <c r="K1015" s="938"/>
      <c r="L1015" s="938"/>
      <c r="M1015" s="938"/>
      <c r="N1015" s="938"/>
      <c r="O1015" s="938"/>
      <c r="P1015" s="938"/>
      <c r="Q1015" s="938"/>
      <c r="R1015" s="938"/>
      <c r="S1015" s="938"/>
      <c r="T1015" s="938"/>
      <c r="U1015" s="938"/>
      <c r="V1015" s="938"/>
      <c r="W1015" s="938"/>
      <c r="X1015" s="938"/>
      <c r="Y1015" s="938"/>
      <c r="Z1015" s="938"/>
      <c r="AA1015" s="938"/>
      <c r="AB1015" s="938"/>
      <c r="AC1015" s="938"/>
      <c r="AD1015" s="938"/>
      <c r="AE1015" s="938"/>
      <c r="AF1015" s="938"/>
      <c r="AG1015" s="938"/>
      <c r="AH1015" s="938"/>
      <c r="AI1015" s="938"/>
      <c r="AJ1015" s="938"/>
      <c r="AK1015" s="938"/>
      <c r="AM1015" s="34"/>
      <c r="AN1015" s="34"/>
      <c r="AO1015" s="21"/>
      <c r="AP1015" s="21"/>
      <c r="AQ1015" s="21"/>
      <c r="AR1015" s="21"/>
      <c r="AS1015" s="21"/>
      <c r="AT1015" s="21"/>
      <c r="AU1015" s="21"/>
      <c r="AV1015" s="21"/>
      <c r="AW1015" s="21"/>
      <c r="AX1015" s="21"/>
      <c r="AY1015" s="21"/>
      <c r="AZ1015" s="21"/>
      <c r="BA1015" s="21"/>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3.35" customHeight="1">
      <c r="A1016" s="1069" t="s">
        <v>325</v>
      </c>
      <c r="B1016" s="1069"/>
      <c r="C1016" s="12">
        <v>3</v>
      </c>
      <c r="D1016" s="938" t="s">
        <v>1663</v>
      </c>
      <c r="E1016" s="938"/>
      <c r="F1016" s="938"/>
      <c r="G1016" s="938"/>
      <c r="H1016" s="938"/>
      <c r="I1016" s="938"/>
      <c r="J1016" s="938"/>
      <c r="K1016" s="938"/>
      <c r="L1016" s="938"/>
      <c r="M1016" s="938"/>
      <c r="N1016" s="938"/>
      <c r="O1016" s="938"/>
      <c r="P1016" s="938"/>
      <c r="Q1016" s="938"/>
      <c r="R1016" s="938"/>
      <c r="S1016" s="938"/>
      <c r="T1016" s="938"/>
      <c r="U1016" s="938"/>
      <c r="V1016" s="938"/>
      <c r="W1016" s="938"/>
      <c r="X1016" s="938"/>
      <c r="Y1016" s="938"/>
      <c r="Z1016" s="938"/>
      <c r="AA1016" s="938"/>
      <c r="AB1016" s="938"/>
      <c r="AC1016" s="938"/>
      <c r="AD1016" s="938"/>
      <c r="AE1016" s="938"/>
      <c r="AF1016" s="938"/>
      <c r="AG1016" s="938"/>
      <c r="AH1016" s="938"/>
      <c r="AI1016" s="938"/>
      <c r="AJ1016" s="938"/>
      <c r="AK1016" s="938"/>
      <c r="AM1016" s="34"/>
      <c r="AN1016" s="34"/>
      <c r="AO1016" s="21"/>
      <c r="AP1016" s="21"/>
      <c r="AQ1016" s="21"/>
      <c r="AR1016" s="21"/>
      <c r="AS1016" s="21"/>
      <c r="AT1016" s="21"/>
      <c r="AU1016" s="21"/>
      <c r="AV1016" s="21"/>
      <c r="AW1016" s="21"/>
      <c r="AX1016" s="21"/>
      <c r="AY1016" s="21"/>
      <c r="AZ1016" s="21"/>
      <c r="BA1016" s="21"/>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35" customHeight="1">
      <c r="A1017" s="37"/>
      <c r="B1017" s="37"/>
      <c r="C1017" s="12"/>
      <c r="D1017" s="938"/>
      <c r="E1017" s="938"/>
      <c r="F1017" s="938"/>
      <c r="G1017" s="938"/>
      <c r="H1017" s="938"/>
      <c r="I1017" s="938"/>
      <c r="J1017" s="938"/>
      <c r="K1017" s="938"/>
      <c r="L1017" s="938"/>
      <c r="M1017" s="938"/>
      <c r="N1017" s="938"/>
      <c r="O1017" s="938"/>
      <c r="P1017" s="938"/>
      <c r="Q1017" s="938"/>
      <c r="R1017" s="938"/>
      <c r="S1017" s="938"/>
      <c r="T1017" s="938"/>
      <c r="U1017" s="938"/>
      <c r="V1017" s="938"/>
      <c r="W1017" s="938"/>
      <c r="X1017" s="938"/>
      <c r="Y1017" s="938"/>
      <c r="Z1017" s="938"/>
      <c r="AA1017" s="938"/>
      <c r="AB1017" s="938"/>
      <c r="AC1017" s="938"/>
      <c r="AD1017" s="938"/>
      <c r="AE1017" s="938"/>
      <c r="AF1017" s="938"/>
      <c r="AG1017" s="938"/>
      <c r="AH1017" s="938"/>
      <c r="AI1017" s="938"/>
      <c r="AJ1017" s="938"/>
      <c r="AK1017" s="938"/>
      <c r="AM1017" s="34"/>
      <c r="AN1017" s="34"/>
      <c r="AO1017" s="21"/>
      <c r="AP1017" s="21"/>
      <c r="AQ1017" s="21"/>
      <c r="AR1017" s="21"/>
      <c r="AS1017" s="21"/>
      <c r="AT1017" s="21"/>
      <c r="AU1017" s="21"/>
      <c r="AV1017" s="21"/>
      <c r="AW1017" s="21"/>
      <c r="AX1017" s="21"/>
      <c r="AY1017" s="21"/>
      <c r="AZ1017" s="21"/>
      <c r="BA1017" s="21"/>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35" customHeight="1">
      <c r="A1018" s="232"/>
      <c r="B1018" s="29"/>
      <c r="C1018" s="12"/>
      <c r="D1018" s="938"/>
      <c r="E1018" s="938"/>
      <c r="F1018" s="938"/>
      <c r="G1018" s="938"/>
      <c r="H1018" s="938"/>
      <c r="I1018" s="938"/>
      <c r="J1018" s="938"/>
      <c r="K1018" s="938"/>
      <c r="L1018" s="938"/>
      <c r="M1018" s="938"/>
      <c r="N1018" s="938"/>
      <c r="O1018" s="938"/>
      <c r="P1018" s="938"/>
      <c r="Q1018" s="938"/>
      <c r="R1018" s="938"/>
      <c r="S1018" s="938"/>
      <c r="T1018" s="938"/>
      <c r="U1018" s="938"/>
      <c r="V1018" s="938"/>
      <c r="W1018" s="938"/>
      <c r="X1018" s="938"/>
      <c r="Y1018" s="938"/>
      <c r="Z1018" s="938"/>
      <c r="AA1018" s="938"/>
      <c r="AB1018" s="938"/>
      <c r="AC1018" s="938"/>
      <c r="AD1018" s="938"/>
      <c r="AE1018" s="938"/>
      <c r="AF1018" s="938"/>
      <c r="AG1018" s="938"/>
      <c r="AH1018" s="938"/>
      <c r="AI1018" s="938"/>
      <c r="AJ1018" s="938"/>
      <c r="AK1018" s="938"/>
      <c r="AM1018" s="34"/>
      <c r="AN1018" s="34"/>
      <c r="AO1018" s="21"/>
      <c r="AP1018" s="21"/>
      <c r="AQ1018" s="21"/>
      <c r="AR1018" s="21"/>
      <c r="AS1018" s="21"/>
      <c r="AT1018" s="21"/>
      <c r="AU1018" s="21"/>
      <c r="AV1018" s="21"/>
      <c r="AW1018" s="21"/>
      <c r="AX1018" s="21"/>
      <c r="AY1018" s="21"/>
      <c r="AZ1018" s="21"/>
      <c r="BA1018" s="21"/>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35" customHeight="1">
      <c r="A1019" s="232"/>
      <c r="B1019" s="29"/>
      <c r="C1019" s="12"/>
      <c r="D1019" s="938"/>
      <c r="E1019" s="938"/>
      <c r="F1019" s="938"/>
      <c r="G1019" s="938"/>
      <c r="H1019" s="938"/>
      <c r="I1019" s="938"/>
      <c r="J1019" s="938"/>
      <c r="K1019" s="938"/>
      <c r="L1019" s="938"/>
      <c r="M1019" s="938"/>
      <c r="N1019" s="938"/>
      <c r="O1019" s="938"/>
      <c r="P1019" s="938"/>
      <c r="Q1019" s="938"/>
      <c r="R1019" s="938"/>
      <c r="S1019" s="938"/>
      <c r="T1019" s="938"/>
      <c r="U1019" s="938"/>
      <c r="V1019" s="938"/>
      <c r="W1019" s="938"/>
      <c r="X1019" s="938"/>
      <c r="Y1019" s="938"/>
      <c r="Z1019" s="938"/>
      <c r="AA1019" s="938"/>
      <c r="AB1019" s="938"/>
      <c r="AC1019" s="938"/>
      <c r="AD1019" s="938"/>
      <c r="AE1019" s="938"/>
      <c r="AF1019" s="938"/>
      <c r="AG1019" s="938"/>
      <c r="AH1019" s="938"/>
      <c r="AI1019" s="938"/>
      <c r="AJ1019" s="938"/>
      <c r="AK1019" s="938"/>
      <c r="AM1019" s="34"/>
      <c r="AN1019" s="34"/>
      <c r="AO1019" s="21"/>
      <c r="AP1019" s="21"/>
      <c r="AQ1019" s="21"/>
      <c r="AR1019" s="21"/>
      <c r="AS1019" s="21"/>
      <c r="AT1019" s="21"/>
      <c r="AU1019" s="21"/>
      <c r="AV1019" s="21"/>
      <c r="AW1019" s="21"/>
      <c r="AX1019" s="21"/>
      <c r="AY1019" s="21"/>
      <c r="AZ1019" s="21"/>
      <c r="BA1019" s="21"/>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35" customHeight="1">
      <c r="A1020" s="232"/>
      <c r="B1020" s="29"/>
      <c r="C1020" s="12"/>
      <c r="D1020" s="938"/>
      <c r="E1020" s="938"/>
      <c r="F1020" s="938"/>
      <c r="G1020" s="938"/>
      <c r="H1020" s="938"/>
      <c r="I1020" s="938"/>
      <c r="J1020" s="938"/>
      <c r="K1020" s="938"/>
      <c r="L1020" s="938"/>
      <c r="M1020" s="938"/>
      <c r="N1020" s="938"/>
      <c r="O1020" s="938"/>
      <c r="P1020" s="938"/>
      <c r="Q1020" s="938"/>
      <c r="R1020" s="938"/>
      <c r="S1020" s="938"/>
      <c r="T1020" s="938"/>
      <c r="U1020" s="938"/>
      <c r="V1020" s="938"/>
      <c r="W1020" s="938"/>
      <c r="X1020" s="938"/>
      <c r="Y1020" s="938"/>
      <c r="Z1020" s="938"/>
      <c r="AA1020" s="938"/>
      <c r="AB1020" s="938"/>
      <c r="AC1020" s="938"/>
      <c r="AD1020" s="938"/>
      <c r="AE1020" s="938"/>
      <c r="AF1020" s="938"/>
      <c r="AG1020" s="938"/>
      <c r="AH1020" s="938"/>
      <c r="AI1020" s="938"/>
      <c r="AJ1020" s="938"/>
      <c r="AK1020" s="938"/>
      <c r="AM1020" s="34"/>
      <c r="AN1020" s="34"/>
      <c r="AO1020" s="21"/>
      <c r="AP1020" s="21"/>
      <c r="AQ1020" s="21"/>
      <c r="AR1020" s="21"/>
      <c r="AS1020" s="21"/>
      <c r="AT1020" s="21"/>
      <c r="AU1020" s="21"/>
      <c r="AV1020" s="21"/>
      <c r="AW1020" s="21"/>
      <c r="AX1020" s="21"/>
      <c r="AY1020" s="21"/>
      <c r="AZ1020" s="21"/>
      <c r="BA1020" s="21"/>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4.25" customHeight="1">
      <c r="A1021" s="232"/>
      <c r="B1021" s="29"/>
      <c r="C1021" s="12"/>
      <c r="D1021" s="938"/>
      <c r="E1021" s="938"/>
      <c r="F1021" s="938"/>
      <c r="G1021" s="938"/>
      <c r="H1021" s="938"/>
      <c r="I1021" s="938"/>
      <c r="J1021" s="938"/>
      <c r="K1021" s="938"/>
      <c r="L1021" s="938"/>
      <c r="M1021" s="938"/>
      <c r="N1021" s="938"/>
      <c r="O1021" s="938"/>
      <c r="P1021" s="938"/>
      <c r="Q1021" s="938"/>
      <c r="R1021" s="938"/>
      <c r="S1021" s="938"/>
      <c r="T1021" s="938"/>
      <c r="U1021" s="938"/>
      <c r="V1021" s="938"/>
      <c r="W1021" s="938"/>
      <c r="X1021" s="938"/>
      <c r="Y1021" s="938"/>
      <c r="Z1021" s="938"/>
      <c r="AA1021" s="938"/>
      <c r="AB1021" s="938"/>
      <c r="AC1021" s="938"/>
      <c r="AD1021" s="938"/>
      <c r="AE1021" s="938"/>
      <c r="AF1021" s="938"/>
      <c r="AG1021" s="938"/>
      <c r="AH1021" s="938"/>
      <c r="AI1021" s="938"/>
      <c r="AJ1021" s="938"/>
      <c r="AK1021" s="938"/>
      <c r="AM1021" s="34"/>
      <c r="AN1021" s="34"/>
      <c r="AO1021" s="21"/>
      <c r="AP1021" s="21"/>
      <c r="AQ1021" s="21"/>
      <c r="AR1021" s="21"/>
      <c r="AS1021" s="21"/>
      <c r="AT1021" s="21"/>
      <c r="AU1021" s="21"/>
      <c r="AV1021" s="21"/>
      <c r="AW1021" s="21"/>
      <c r="AX1021" s="21"/>
      <c r="AY1021" s="21"/>
      <c r="AZ1021" s="21"/>
      <c r="BA1021" s="21"/>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5" customHeight="1">
      <c r="A1022" s="232"/>
      <c r="B1022" s="29"/>
      <c r="C1022" s="12"/>
      <c r="D1022" s="178"/>
      <c r="E1022" s="178"/>
      <c r="F1022" s="178"/>
      <c r="G1022" s="178"/>
      <c r="H1022" s="178"/>
      <c r="I1022" s="178"/>
      <c r="J1022" s="178"/>
      <c r="K1022" s="178"/>
      <c r="L1022" s="178"/>
      <c r="M1022" s="178"/>
      <c r="N1022" s="178"/>
      <c r="O1022" s="178"/>
      <c r="P1022" s="178"/>
      <c r="Q1022" s="178"/>
      <c r="R1022" s="178"/>
      <c r="S1022" s="178"/>
      <c r="T1022" s="178"/>
      <c r="U1022" s="178"/>
      <c r="V1022" s="178"/>
      <c r="W1022" s="178"/>
      <c r="X1022" s="178"/>
      <c r="Y1022" s="178"/>
      <c r="Z1022" s="178"/>
      <c r="AA1022" s="178"/>
      <c r="AB1022" s="178"/>
      <c r="AC1022" s="178"/>
      <c r="AD1022" s="178"/>
      <c r="AE1022" s="178"/>
      <c r="AF1022" s="178"/>
      <c r="AG1022" s="178"/>
      <c r="AH1022" s="178"/>
      <c r="AI1022" s="178"/>
      <c r="AJ1022" s="178"/>
      <c r="AK1022" s="178"/>
      <c r="AM1022" s="34"/>
      <c r="AN1022" s="34"/>
      <c r="AO1022" s="21"/>
      <c r="AP1022" s="21"/>
      <c r="AQ1022" s="21"/>
      <c r="AR1022" s="21"/>
      <c r="AS1022" s="21"/>
      <c r="AT1022" s="21"/>
      <c r="AU1022" s="21"/>
      <c r="AV1022" s="21"/>
      <c r="AW1022" s="21"/>
      <c r="AX1022" s="21"/>
      <c r="AY1022" s="21"/>
      <c r="AZ1022" s="21"/>
      <c r="BA1022" s="21"/>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35" customHeight="1">
      <c r="A1023" s="1069" t="s">
        <v>325</v>
      </c>
      <c r="B1023" s="1069"/>
      <c r="C1023" s="12">
        <v>4</v>
      </c>
      <c r="D1023" s="938" t="s">
        <v>1664</v>
      </c>
      <c r="E1023" s="938"/>
      <c r="F1023" s="938"/>
      <c r="G1023" s="938"/>
      <c r="H1023" s="938"/>
      <c r="I1023" s="938"/>
      <c r="J1023" s="938"/>
      <c r="K1023" s="938"/>
      <c r="L1023" s="938"/>
      <c r="M1023" s="938"/>
      <c r="N1023" s="938"/>
      <c r="O1023" s="938"/>
      <c r="P1023" s="938"/>
      <c r="Q1023" s="938"/>
      <c r="R1023" s="938"/>
      <c r="S1023" s="938"/>
      <c r="T1023" s="938"/>
      <c r="U1023" s="938"/>
      <c r="V1023" s="938"/>
      <c r="W1023" s="938"/>
      <c r="X1023" s="938"/>
      <c r="Y1023" s="938"/>
      <c r="Z1023" s="938"/>
      <c r="AA1023" s="938"/>
      <c r="AB1023" s="938"/>
      <c r="AC1023" s="938"/>
      <c r="AD1023" s="938"/>
      <c r="AE1023" s="938"/>
      <c r="AF1023" s="938"/>
      <c r="AG1023" s="938"/>
      <c r="AH1023" s="938"/>
      <c r="AI1023" s="938"/>
      <c r="AJ1023" s="938"/>
      <c r="AK1023" s="938"/>
      <c r="AM1023" s="34"/>
      <c r="AN1023" s="34"/>
      <c r="AO1023" s="21"/>
      <c r="AP1023" s="21"/>
      <c r="AQ1023" s="21"/>
      <c r="AR1023" s="21"/>
      <c r="AS1023" s="21"/>
      <c r="AT1023" s="21"/>
      <c r="AU1023" s="21"/>
      <c r="AV1023" s="21"/>
      <c r="AW1023" s="21"/>
      <c r="AX1023" s="21"/>
      <c r="AY1023" s="21"/>
      <c r="AZ1023" s="21"/>
      <c r="BA1023" s="21"/>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35" customHeight="1">
      <c r="A1024" s="1"/>
      <c r="B1024" s="1"/>
      <c r="C1024" s="12"/>
      <c r="D1024" s="938"/>
      <c r="E1024" s="938"/>
      <c r="F1024" s="938"/>
      <c r="G1024" s="938"/>
      <c r="H1024" s="938"/>
      <c r="I1024" s="938"/>
      <c r="J1024" s="938"/>
      <c r="K1024" s="938"/>
      <c r="L1024" s="938"/>
      <c r="M1024" s="938"/>
      <c r="N1024" s="938"/>
      <c r="O1024" s="938"/>
      <c r="P1024" s="938"/>
      <c r="Q1024" s="938"/>
      <c r="R1024" s="938"/>
      <c r="S1024" s="938"/>
      <c r="T1024" s="938"/>
      <c r="U1024" s="938"/>
      <c r="V1024" s="938"/>
      <c r="W1024" s="938"/>
      <c r="X1024" s="938"/>
      <c r="Y1024" s="938"/>
      <c r="Z1024" s="938"/>
      <c r="AA1024" s="938"/>
      <c r="AB1024" s="938"/>
      <c r="AC1024" s="938"/>
      <c r="AD1024" s="938"/>
      <c r="AE1024" s="938"/>
      <c r="AF1024" s="938"/>
      <c r="AG1024" s="938"/>
      <c r="AH1024" s="938"/>
      <c r="AI1024" s="938"/>
      <c r="AJ1024" s="938"/>
      <c r="AK1024" s="938"/>
      <c r="AM1024" s="34"/>
      <c r="AN1024" s="34"/>
      <c r="AO1024" s="21"/>
      <c r="AP1024" s="21"/>
      <c r="AQ1024" s="21"/>
      <c r="AR1024" s="21"/>
      <c r="AS1024" s="21"/>
      <c r="AT1024" s="21"/>
      <c r="AU1024" s="21"/>
      <c r="AV1024" s="21"/>
      <c r="AW1024" s="21"/>
      <c r="AX1024" s="21"/>
      <c r="AY1024" s="21"/>
      <c r="AZ1024" s="21"/>
      <c r="BA1024" s="21"/>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97" ht="23.25" customHeight="1">
      <c r="A1025" s="232"/>
      <c r="B1025" s="29"/>
      <c r="C1025" s="12"/>
      <c r="D1025" s="938"/>
      <c r="E1025" s="938"/>
      <c r="F1025" s="938"/>
      <c r="G1025" s="938"/>
      <c r="H1025" s="938"/>
      <c r="I1025" s="938"/>
      <c r="J1025" s="938"/>
      <c r="K1025" s="938"/>
      <c r="L1025" s="938"/>
      <c r="M1025" s="938"/>
      <c r="N1025" s="938"/>
      <c r="O1025" s="938"/>
      <c r="P1025" s="938"/>
      <c r="Q1025" s="938"/>
      <c r="R1025" s="938"/>
      <c r="S1025" s="938"/>
      <c r="T1025" s="938"/>
      <c r="U1025" s="938"/>
      <c r="V1025" s="938"/>
      <c r="W1025" s="938"/>
      <c r="X1025" s="938"/>
      <c r="Y1025" s="938"/>
      <c r="Z1025" s="938"/>
      <c r="AA1025" s="938"/>
      <c r="AB1025" s="938"/>
      <c r="AC1025" s="938"/>
      <c r="AD1025" s="938"/>
      <c r="AE1025" s="938"/>
      <c r="AF1025" s="938"/>
      <c r="AG1025" s="938"/>
      <c r="AH1025" s="938"/>
      <c r="AI1025" s="938"/>
      <c r="AJ1025" s="938"/>
      <c r="AK1025" s="938"/>
      <c r="AM1025" s="34"/>
      <c r="AN1025" s="34"/>
      <c r="AO1025" s="21"/>
      <c r="AP1025" s="21"/>
      <c r="AQ1025" s="21"/>
      <c r="AR1025" s="21"/>
      <c r="AS1025" s="21"/>
      <c r="AT1025" s="21"/>
      <c r="AU1025" s="21"/>
      <c r="AV1025" s="21"/>
      <c r="AW1025" s="21"/>
      <c r="AX1025" s="21"/>
      <c r="AY1025" s="21"/>
      <c r="AZ1025" s="21"/>
      <c r="BA1025" s="21"/>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97" ht="13.35" customHeight="1">
      <c r="A1026" s="1069" t="s">
        <v>325</v>
      </c>
      <c r="B1026" s="1069"/>
      <c r="C1026" s="12">
        <v>5</v>
      </c>
      <c r="D1026" s="938" t="s">
        <v>1665</v>
      </c>
      <c r="E1026" s="938"/>
      <c r="F1026" s="938"/>
      <c r="G1026" s="938"/>
      <c r="H1026" s="938"/>
      <c r="I1026" s="938"/>
      <c r="J1026" s="938"/>
      <c r="K1026" s="938"/>
      <c r="L1026" s="938"/>
      <c r="M1026" s="938"/>
      <c r="N1026" s="938"/>
      <c r="O1026" s="938"/>
      <c r="P1026" s="938"/>
      <c r="Q1026" s="938"/>
      <c r="R1026" s="938"/>
      <c r="S1026" s="938"/>
      <c r="T1026" s="938"/>
      <c r="U1026" s="938"/>
      <c r="V1026" s="938"/>
      <c r="W1026" s="938"/>
      <c r="X1026" s="938"/>
      <c r="Y1026" s="938"/>
      <c r="Z1026" s="938"/>
      <c r="AA1026" s="938"/>
      <c r="AB1026" s="938"/>
      <c r="AC1026" s="938"/>
      <c r="AD1026" s="938"/>
      <c r="AE1026" s="938"/>
      <c r="AF1026" s="938"/>
      <c r="AG1026" s="938"/>
      <c r="AH1026" s="938"/>
      <c r="AI1026" s="938"/>
      <c r="AJ1026" s="938"/>
      <c r="AK1026" s="938"/>
      <c r="AM1026" s="34"/>
      <c r="AN1026" s="34"/>
      <c r="AO1026" s="21"/>
      <c r="AP1026" s="21"/>
      <c r="AQ1026" s="21"/>
      <c r="AR1026" s="21"/>
      <c r="AS1026" s="21"/>
      <c r="AT1026" s="21"/>
      <c r="AU1026" s="21"/>
      <c r="AV1026" s="21"/>
      <c r="AW1026" s="21"/>
      <c r="AX1026" s="21"/>
      <c r="AY1026" s="21"/>
      <c r="AZ1026" s="21"/>
      <c r="BA1026" s="21"/>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97" ht="13.35" customHeight="1">
      <c r="A1027" s="1"/>
      <c r="B1027" s="1"/>
      <c r="C1027" s="12"/>
      <c r="D1027" s="938"/>
      <c r="E1027" s="938"/>
      <c r="F1027" s="938"/>
      <c r="G1027" s="938"/>
      <c r="H1027" s="938"/>
      <c r="I1027" s="938"/>
      <c r="J1027" s="938"/>
      <c r="K1027" s="938"/>
      <c r="L1027" s="938"/>
      <c r="M1027" s="938"/>
      <c r="N1027" s="938"/>
      <c r="O1027" s="938"/>
      <c r="P1027" s="938"/>
      <c r="Q1027" s="938"/>
      <c r="R1027" s="938"/>
      <c r="S1027" s="938"/>
      <c r="T1027" s="938"/>
      <c r="U1027" s="938"/>
      <c r="V1027" s="938"/>
      <c r="W1027" s="938"/>
      <c r="X1027" s="938"/>
      <c r="Y1027" s="938"/>
      <c r="Z1027" s="938"/>
      <c r="AA1027" s="938"/>
      <c r="AB1027" s="938"/>
      <c r="AC1027" s="938"/>
      <c r="AD1027" s="938"/>
      <c r="AE1027" s="938"/>
      <c r="AF1027" s="938"/>
      <c r="AG1027" s="938"/>
      <c r="AH1027" s="938"/>
      <c r="AI1027" s="938"/>
      <c r="AJ1027" s="938"/>
      <c r="AK1027" s="938"/>
      <c r="AM1027" s="37"/>
      <c r="AN1027" s="37"/>
      <c r="AO1027" s="37"/>
      <c r="AP1027" s="37"/>
      <c r="AQ1027" s="37"/>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97" ht="13.35" customHeight="1">
      <c r="A1028" s="1"/>
      <c r="B1028" s="1"/>
      <c r="C1028" s="12"/>
      <c r="D1028" s="938"/>
      <c r="E1028" s="938"/>
      <c r="F1028" s="938"/>
      <c r="G1028" s="938"/>
      <c r="H1028" s="938"/>
      <c r="I1028" s="938"/>
      <c r="J1028" s="938"/>
      <c r="K1028" s="938"/>
      <c r="L1028" s="938"/>
      <c r="M1028" s="938"/>
      <c r="N1028" s="938"/>
      <c r="O1028" s="938"/>
      <c r="P1028" s="938"/>
      <c r="Q1028" s="938"/>
      <c r="R1028" s="938"/>
      <c r="S1028" s="938"/>
      <c r="T1028" s="938"/>
      <c r="U1028" s="938"/>
      <c r="V1028" s="938"/>
      <c r="W1028" s="938"/>
      <c r="X1028" s="938"/>
      <c r="Y1028" s="938"/>
      <c r="Z1028" s="938"/>
      <c r="AA1028" s="938"/>
      <c r="AB1028" s="938"/>
      <c r="AC1028" s="938"/>
      <c r="AD1028" s="938"/>
      <c r="AE1028" s="938"/>
      <c r="AF1028" s="938"/>
      <c r="AG1028" s="938"/>
      <c r="AH1028" s="938"/>
      <c r="AI1028" s="938"/>
      <c r="AJ1028" s="938"/>
      <c r="AK1028" s="938"/>
      <c r="AM1028" s="37"/>
      <c r="AN1028" s="37"/>
      <c r="AO1028" s="37"/>
      <c r="AP1028" s="37"/>
      <c r="AQ1028" s="37"/>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97" ht="13.35" hidden="1" customHeight="1">
      <c r="A1029" s="1"/>
      <c r="B1029" s="1"/>
      <c r="C1029" s="12"/>
      <c r="D1029" s="938"/>
      <c r="E1029" s="938"/>
      <c r="F1029" s="938"/>
      <c r="G1029" s="938"/>
      <c r="H1029" s="938"/>
      <c r="I1029" s="938"/>
      <c r="J1029" s="938"/>
      <c r="K1029" s="938"/>
      <c r="L1029" s="938"/>
      <c r="M1029" s="938"/>
      <c r="N1029" s="938"/>
      <c r="O1029" s="938"/>
      <c r="P1029" s="938"/>
      <c r="Q1029" s="938"/>
      <c r="R1029" s="938"/>
      <c r="S1029" s="938"/>
      <c r="T1029" s="938"/>
      <c r="U1029" s="938"/>
      <c r="V1029" s="938"/>
      <c r="W1029" s="938"/>
      <c r="X1029" s="938"/>
      <c r="Y1029" s="938"/>
      <c r="Z1029" s="938"/>
      <c r="AA1029" s="938"/>
      <c r="AB1029" s="938"/>
      <c r="AC1029" s="938"/>
      <c r="AD1029" s="938"/>
      <c r="AE1029" s="938"/>
      <c r="AF1029" s="938"/>
      <c r="AG1029" s="938"/>
      <c r="AH1029" s="938"/>
      <c r="AI1029" s="938"/>
      <c r="AJ1029" s="938"/>
      <c r="AK1029" s="938"/>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3.35" customHeight="1">
      <c r="A1030" s="232"/>
      <c r="B1030" s="29"/>
      <c r="C1030" s="12"/>
      <c r="D1030" s="938"/>
      <c r="E1030" s="938"/>
      <c r="F1030" s="938"/>
      <c r="G1030" s="938"/>
      <c r="H1030" s="938"/>
      <c r="I1030" s="938"/>
      <c r="J1030" s="938"/>
      <c r="K1030" s="938"/>
      <c r="L1030" s="938"/>
      <c r="M1030" s="938"/>
      <c r="N1030" s="938"/>
      <c r="O1030" s="938"/>
      <c r="P1030" s="938"/>
      <c r="Q1030" s="938"/>
      <c r="R1030" s="938"/>
      <c r="S1030" s="938"/>
      <c r="T1030" s="938"/>
      <c r="U1030" s="938"/>
      <c r="V1030" s="938"/>
      <c r="W1030" s="938"/>
      <c r="X1030" s="938"/>
      <c r="Y1030" s="938"/>
      <c r="Z1030" s="938"/>
      <c r="AA1030" s="938"/>
      <c r="AB1030" s="938"/>
      <c r="AC1030" s="938"/>
      <c r="AD1030" s="938"/>
      <c r="AE1030" s="938"/>
      <c r="AF1030" s="938"/>
      <c r="AG1030" s="938"/>
      <c r="AH1030" s="938"/>
      <c r="AI1030" s="938"/>
      <c r="AJ1030" s="938"/>
      <c r="AK1030" s="938"/>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3.35" customHeight="1">
      <c r="A1031" s="1069" t="s">
        <v>325</v>
      </c>
      <c r="B1031" s="1069"/>
      <c r="C1031" s="12">
        <v>6</v>
      </c>
      <c r="D1031" s="938" t="s">
        <v>1666</v>
      </c>
      <c r="E1031" s="938"/>
      <c r="F1031" s="938"/>
      <c r="G1031" s="938"/>
      <c r="H1031" s="938"/>
      <c r="I1031" s="938"/>
      <c r="J1031" s="938"/>
      <c r="K1031" s="938"/>
      <c r="L1031" s="938"/>
      <c r="M1031" s="938"/>
      <c r="N1031" s="938"/>
      <c r="O1031" s="938"/>
      <c r="P1031" s="938"/>
      <c r="Q1031" s="938"/>
      <c r="R1031" s="938"/>
      <c r="S1031" s="938"/>
      <c r="T1031" s="938"/>
      <c r="U1031" s="938"/>
      <c r="V1031" s="938"/>
      <c r="W1031" s="938"/>
      <c r="X1031" s="938"/>
      <c r="Y1031" s="938"/>
      <c r="Z1031" s="938"/>
      <c r="AA1031" s="938"/>
      <c r="AB1031" s="938"/>
      <c r="AC1031" s="938"/>
      <c r="AD1031" s="938"/>
      <c r="AE1031" s="938"/>
      <c r="AF1031" s="938"/>
      <c r="AG1031" s="938"/>
      <c r="AH1031" s="938"/>
      <c r="AI1031" s="938"/>
      <c r="AJ1031" s="938"/>
      <c r="AK1031" s="938"/>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3.35" customHeight="1">
      <c r="A1032" s="232"/>
      <c r="B1032" s="29"/>
      <c r="C1032" s="12"/>
      <c r="D1032" s="938"/>
      <c r="E1032" s="938"/>
      <c r="F1032" s="938"/>
      <c r="G1032" s="938"/>
      <c r="H1032" s="938"/>
      <c r="I1032" s="938"/>
      <c r="J1032" s="938"/>
      <c r="K1032" s="938"/>
      <c r="L1032" s="938"/>
      <c r="M1032" s="938"/>
      <c r="N1032" s="938"/>
      <c r="O1032" s="938"/>
      <c r="P1032" s="938"/>
      <c r="Q1032" s="938"/>
      <c r="R1032" s="938"/>
      <c r="S1032" s="938"/>
      <c r="T1032" s="938"/>
      <c r="U1032" s="938"/>
      <c r="V1032" s="938"/>
      <c r="W1032" s="938"/>
      <c r="X1032" s="938"/>
      <c r="Y1032" s="938"/>
      <c r="Z1032" s="938"/>
      <c r="AA1032" s="938"/>
      <c r="AB1032" s="938"/>
      <c r="AC1032" s="938"/>
      <c r="AD1032" s="938"/>
      <c r="AE1032" s="938"/>
      <c r="AF1032" s="938"/>
      <c r="AG1032" s="938"/>
      <c r="AH1032" s="938"/>
      <c r="AI1032" s="938"/>
      <c r="AJ1032" s="938"/>
      <c r="AK1032" s="938"/>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3.35" customHeight="1">
      <c r="A1033" s="232"/>
      <c r="B1033" s="29"/>
      <c r="C1033" s="12"/>
      <c r="D1033" s="938"/>
      <c r="E1033" s="938"/>
      <c r="F1033" s="938"/>
      <c r="G1033" s="938"/>
      <c r="H1033" s="938"/>
      <c r="I1033" s="938"/>
      <c r="J1033" s="938"/>
      <c r="K1033" s="938"/>
      <c r="L1033" s="938"/>
      <c r="M1033" s="938"/>
      <c r="N1033" s="938"/>
      <c r="O1033" s="938"/>
      <c r="P1033" s="938"/>
      <c r="Q1033" s="938"/>
      <c r="R1033" s="938"/>
      <c r="S1033" s="938"/>
      <c r="T1033" s="938"/>
      <c r="U1033" s="938"/>
      <c r="V1033" s="938"/>
      <c r="W1033" s="938"/>
      <c r="X1033" s="938"/>
      <c r="Y1033" s="938"/>
      <c r="Z1033" s="938"/>
      <c r="AA1033" s="938"/>
      <c r="AB1033" s="938"/>
      <c r="AC1033" s="938"/>
      <c r="AD1033" s="938"/>
      <c r="AE1033" s="938"/>
      <c r="AF1033" s="938"/>
      <c r="AG1033" s="938"/>
      <c r="AH1033" s="938"/>
      <c r="AI1033" s="938"/>
      <c r="AJ1033" s="938"/>
      <c r="AK1033" s="938"/>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3.35" customHeight="1">
      <c r="A1034" s="1069" t="s">
        <v>325</v>
      </c>
      <c r="B1034" s="1069"/>
      <c r="C1034" s="904">
        <v>7</v>
      </c>
      <c r="D1034" s="938" t="s">
        <v>1667</v>
      </c>
      <c r="E1034" s="938"/>
      <c r="F1034" s="938"/>
      <c r="G1034" s="938"/>
      <c r="H1034" s="938"/>
      <c r="I1034" s="938"/>
      <c r="J1034" s="938"/>
      <c r="K1034" s="938"/>
      <c r="L1034" s="938"/>
      <c r="M1034" s="938"/>
      <c r="N1034" s="938"/>
      <c r="O1034" s="938"/>
      <c r="P1034" s="938"/>
      <c r="Q1034" s="938"/>
      <c r="R1034" s="938"/>
      <c r="S1034" s="938"/>
      <c r="T1034" s="938"/>
      <c r="U1034" s="938"/>
      <c r="V1034" s="938"/>
      <c r="W1034" s="938"/>
      <c r="X1034" s="938"/>
      <c r="Y1034" s="938"/>
      <c r="Z1034" s="938"/>
      <c r="AA1034" s="938"/>
      <c r="AB1034" s="938"/>
      <c r="AC1034" s="938"/>
      <c r="AD1034" s="938"/>
      <c r="AE1034" s="938"/>
      <c r="AF1034" s="938"/>
      <c r="AG1034" s="938"/>
      <c r="AH1034" s="938"/>
      <c r="AI1034" s="938"/>
      <c r="AJ1034" s="938"/>
      <c r="AK1034" s="938"/>
      <c r="AM1034" s="37"/>
      <c r="AN1034" s="37"/>
      <c r="AO1034" s="37"/>
      <c r="AP1034" s="37"/>
      <c r="AQ1034" s="37"/>
      <c r="AR1034" s="37"/>
      <c r="AS1034" s="37"/>
      <c r="AT1034" s="37"/>
      <c r="AU1034" s="37"/>
      <c r="AV1034" s="37"/>
      <c r="AW1034" s="37"/>
      <c r="AX1034" s="37"/>
      <c r="AY1034" s="37"/>
      <c r="AZ1034" s="37"/>
      <c r="BA1034" s="37"/>
      <c r="BB1034" s="37"/>
      <c r="BC1034" s="37"/>
      <c r="BD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13.35" customHeight="1">
      <c r="A1035" s="1"/>
      <c r="B1035" s="1"/>
      <c r="C1035" s="904"/>
      <c r="D1035" s="938"/>
      <c r="E1035" s="938"/>
      <c r="F1035" s="938"/>
      <c r="G1035" s="938"/>
      <c r="H1035" s="938"/>
      <c r="I1035" s="938"/>
      <c r="J1035" s="938"/>
      <c r="K1035" s="938"/>
      <c r="L1035" s="938"/>
      <c r="M1035" s="938"/>
      <c r="N1035" s="938"/>
      <c r="O1035" s="938"/>
      <c r="P1035" s="938"/>
      <c r="Q1035" s="938"/>
      <c r="R1035" s="938"/>
      <c r="S1035" s="938"/>
      <c r="T1035" s="938"/>
      <c r="U1035" s="938"/>
      <c r="V1035" s="938"/>
      <c r="W1035" s="938"/>
      <c r="X1035" s="938"/>
      <c r="Y1035" s="938"/>
      <c r="Z1035" s="938"/>
      <c r="AA1035" s="938"/>
      <c r="AB1035" s="938"/>
      <c r="AC1035" s="938"/>
      <c r="AD1035" s="938"/>
      <c r="AE1035" s="938"/>
      <c r="AF1035" s="938"/>
      <c r="AG1035" s="938"/>
      <c r="AH1035" s="938"/>
      <c r="AI1035" s="938"/>
      <c r="AJ1035" s="938"/>
      <c r="AK1035" s="938"/>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3.35" customHeight="1">
      <c r="A1036" s="1"/>
      <c r="B1036" s="1"/>
      <c r="C1036" s="904"/>
      <c r="D1036" s="938"/>
      <c r="E1036" s="938"/>
      <c r="F1036" s="938"/>
      <c r="G1036" s="938"/>
      <c r="H1036" s="938"/>
      <c r="I1036" s="938"/>
      <c r="J1036" s="938"/>
      <c r="K1036" s="938"/>
      <c r="L1036" s="938"/>
      <c r="M1036" s="938"/>
      <c r="N1036" s="938"/>
      <c r="O1036" s="938"/>
      <c r="P1036" s="938"/>
      <c r="Q1036" s="938"/>
      <c r="R1036" s="938"/>
      <c r="S1036" s="938"/>
      <c r="T1036" s="938"/>
      <c r="U1036" s="938"/>
      <c r="V1036" s="938"/>
      <c r="W1036" s="938"/>
      <c r="X1036" s="938"/>
      <c r="Y1036" s="938"/>
      <c r="Z1036" s="938"/>
      <c r="AA1036" s="938"/>
      <c r="AB1036" s="938"/>
      <c r="AC1036" s="938"/>
      <c r="AD1036" s="938"/>
      <c r="AE1036" s="938"/>
      <c r="AF1036" s="938"/>
      <c r="AG1036" s="938"/>
      <c r="AH1036" s="938"/>
      <c r="AI1036" s="938"/>
      <c r="AJ1036" s="938"/>
      <c r="AK1036" s="938"/>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3.35" customHeight="1">
      <c r="A1037" s="232"/>
      <c r="B1037" s="29"/>
      <c r="C1037" s="904"/>
      <c r="D1037" s="938"/>
      <c r="E1037" s="938"/>
      <c r="F1037" s="938"/>
      <c r="G1037" s="938"/>
      <c r="H1037" s="938"/>
      <c r="I1037" s="938"/>
      <c r="J1037" s="938"/>
      <c r="K1037" s="938"/>
      <c r="L1037" s="938"/>
      <c r="M1037" s="938"/>
      <c r="N1037" s="938"/>
      <c r="O1037" s="938"/>
      <c r="P1037" s="938"/>
      <c r="Q1037" s="938"/>
      <c r="R1037" s="938"/>
      <c r="S1037" s="938"/>
      <c r="T1037" s="938"/>
      <c r="U1037" s="938"/>
      <c r="V1037" s="938"/>
      <c r="W1037" s="938"/>
      <c r="X1037" s="938"/>
      <c r="Y1037" s="938"/>
      <c r="Z1037" s="938"/>
      <c r="AA1037" s="938"/>
      <c r="AB1037" s="938"/>
      <c r="AC1037" s="938"/>
      <c r="AD1037" s="938"/>
      <c r="AE1037" s="938"/>
      <c r="AF1037" s="938"/>
      <c r="AG1037" s="938"/>
      <c r="AH1037" s="938"/>
      <c r="AI1037" s="938"/>
      <c r="AJ1037" s="938"/>
      <c r="AK1037" s="938"/>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3.35" customHeight="1">
      <c r="A1038" s="1069" t="s">
        <v>325</v>
      </c>
      <c r="B1038" s="1069"/>
      <c r="C1038" s="904">
        <v>8</v>
      </c>
      <c r="D1038" s="938" t="s">
        <v>1668</v>
      </c>
      <c r="E1038" s="938"/>
      <c r="F1038" s="938"/>
      <c r="G1038" s="938"/>
      <c r="H1038" s="938"/>
      <c r="I1038" s="938"/>
      <c r="J1038" s="938"/>
      <c r="K1038" s="938"/>
      <c r="L1038" s="938"/>
      <c r="M1038" s="938"/>
      <c r="N1038" s="938"/>
      <c r="O1038" s="938"/>
      <c r="P1038" s="938"/>
      <c r="Q1038" s="938"/>
      <c r="R1038" s="938"/>
      <c r="S1038" s="938"/>
      <c r="T1038" s="938"/>
      <c r="U1038" s="938"/>
      <c r="V1038" s="938"/>
      <c r="W1038" s="938"/>
      <c r="X1038" s="938"/>
      <c r="Y1038" s="938"/>
      <c r="Z1038" s="938"/>
      <c r="AA1038" s="938"/>
      <c r="AB1038" s="938"/>
      <c r="AC1038" s="938"/>
      <c r="AD1038" s="938"/>
      <c r="AE1038" s="938"/>
      <c r="AF1038" s="938"/>
      <c r="AG1038" s="938"/>
      <c r="AH1038" s="938"/>
      <c r="AI1038" s="938"/>
      <c r="AJ1038" s="938"/>
      <c r="AK1038" s="938"/>
    </row>
    <row r="1039" spans="1:97" ht="13.35" customHeight="1">
      <c r="A1039" s="1"/>
      <c r="B1039" s="1"/>
      <c r="C1039" s="904"/>
      <c r="D1039" s="938"/>
      <c r="E1039" s="938"/>
      <c r="F1039" s="938"/>
      <c r="G1039" s="938"/>
      <c r="H1039" s="938"/>
      <c r="I1039" s="938"/>
      <c r="J1039" s="938"/>
      <c r="K1039" s="938"/>
      <c r="L1039" s="938"/>
      <c r="M1039" s="938"/>
      <c r="N1039" s="938"/>
      <c r="O1039" s="938"/>
      <c r="P1039" s="938"/>
      <c r="Q1039" s="938"/>
      <c r="R1039" s="938"/>
      <c r="S1039" s="938"/>
      <c r="T1039" s="938"/>
      <c r="U1039" s="938"/>
      <c r="V1039" s="938"/>
      <c r="W1039" s="938"/>
      <c r="X1039" s="938"/>
      <c r="Y1039" s="938"/>
      <c r="Z1039" s="938"/>
      <c r="AA1039" s="938"/>
      <c r="AB1039" s="938"/>
      <c r="AC1039" s="938"/>
      <c r="AD1039" s="938"/>
      <c r="AE1039" s="938"/>
      <c r="AF1039" s="938"/>
      <c r="AG1039" s="938"/>
      <c r="AH1039" s="938"/>
      <c r="AI1039" s="938"/>
      <c r="AJ1039" s="938"/>
      <c r="AK1039" s="938"/>
    </row>
    <row r="1040" spans="1:97" ht="13.35" customHeight="1">
      <c r="A1040" s="1"/>
      <c r="B1040" s="1"/>
      <c r="C1040" s="904"/>
      <c r="D1040" s="938"/>
      <c r="E1040" s="938"/>
      <c r="F1040" s="938"/>
      <c r="G1040" s="938"/>
      <c r="H1040" s="938"/>
      <c r="I1040" s="938"/>
      <c r="J1040" s="938"/>
      <c r="K1040" s="938"/>
      <c r="L1040" s="938"/>
      <c r="M1040" s="938"/>
      <c r="N1040" s="938"/>
      <c r="O1040" s="938"/>
      <c r="P1040" s="938"/>
      <c r="Q1040" s="938"/>
      <c r="R1040" s="938"/>
      <c r="S1040" s="938"/>
      <c r="T1040" s="938"/>
      <c r="U1040" s="938"/>
      <c r="V1040" s="938"/>
      <c r="W1040" s="938"/>
      <c r="X1040" s="938"/>
      <c r="Y1040" s="938"/>
      <c r="Z1040" s="938"/>
      <c r="AA1040" s="938"/>
      <c r="AB1040" s="938"/>
      <c r="AC1040" s="938"/>
      <c r="AD1040" s="938"/>
      <c r="AE1040" s="938"/>
      <c r="AF1040" s="938"/>
      <c r="AG1040" s="938"/>
      <c r="AH1040" s="938"/>
      <c r="AI1040" s="938"/>
      <c r="AJ1040" s="938"/>
      <c r="AK1040" s="938"/>
    </row>
    <row r="1041" spans="1:38" ht="13.35" customHeight="1">
      <c r="A1041" s="232"/>
      <c r="B1041" s="29"/>
      <c r="C1041" s="904"/>
      <c r="D1041" s="938"/>
      <c r="E1041" s="938"/>
      <c r="F1041" s="938"/>
      <c r="G1041" s="938"/>
      <c r="H1041" s="938"/>
      <c r="I1041" s="938"/>
      <c r="J1041" s="938"/>
      <c r="K1041" s="938"/>
      <c r="L1041" s="938"/>
      <c r="M1041" s="938"/>
      <c r="N1041" s="938"/>
      <c r="O1041" s="938"/>
      <c r="P1041" s="938"/>
      <c r="Q1041" s="938"/>
      <c r="R1041" s="938"/>
      <c r="S1041" s="938"/>
      <c r="T1041" s="938"/>
      <c r="U1041" s="938"/>
      <c r="V1041" s="938"/>
      <c r="W1041" s="938"/>
      <c r="X1041" s="938"/>
      <c r="Y1041" s="938"/>
      <c r="Z1041" s="938"/>
      <c r="AA1041" s="938"/>
      <c r="AB1041" s="938"/>
      <c r="AC1041" s="938"/>
      <c r="AD1041" s="938"/>
      <c r="AE1041" s="938"/>
      <c r="AF1041" s="938"/>
      <c r="AG1041" s="938"/>
      <c r="AH1041" s="938"/>
      <c r="AI1041" s="938"/>
      <c r="AJ1041" s="938"/>
      <c r="AK1041" s="938"/>
    </row>
    <row r="1042" spans="1:38" ht="13.35" customHeight="1">
      <c r="A1042" s="1094" t="s">
        <v>325</v>
      </c>
      <c r="B1042" s="1094"/>
      <c r="C1042" s="904">
        <v>9</v>
      </c>
      <c r="D1042" s="938" t="s">
        <v>1669</v>
      </c>
      <c r="E1042" s="938"/>
      <c r="F1042" s="938"/>
      <c r="G1042" s="938"/>
      <c r="H1042" s="938"/>
      <c r="I1042" s="938"/>
      <c r="J1042" s="938"/>
      <c r="K1042" s="938"/>
      <c r="L1042" s="938"/>
      <c r="M1042" s="938"/>
      <c r="N1042" s="938"/>
      <c r="O1042" s="938"/>
      <c r="P1042" s="938"/>
      <c r="Q1042" s="938"/>
      <c r="R1042" s="938"/>
      <c r="S1042" s="938"/>
      <c r="T1042" s="938"/>
      <c r="U1042" s="938"/>
      <c r="V1042" s="938"/>
      <c r="W1042" s="938"/>
      <c r="X1042" s="938"/>
      <c r="Y1042" s="938"/>
      <c r="Z1042" s="938"/>
      <c r="AA1042" s="938"/>
      <c r="AB1042" s="938"/>
      <c r="AC1042" s="938"/>
      <c r="AD1042" s="938"/>
      <c r="AE1042" s="938"/>
      <c r="AF1042" s="938"/>
      <c r="AG1042" s="938"/>
      <c r="AH1042" s="938"/>
      <c r="AI1042" s="938"/>
      <c r="AJ1042" s="938"/>
      <c r="AK1042" s="938"/>
    </row>
    <row r="1043" spans="1:38" ht="13.35" customHeight="1">
      <c r="A1043" s="232"/>
      <c r="B1043" s="29"/>
      <c r="C1043" s="904"/>
      <c r="D1043" s="938"/>
      <c r="E1043" s="938"/>
      <c r="F1043" s="938"/>
      <c r="G1043" s="938"/>
      <c r="H1043" s="938"/>
      <c r="I1043" s="938"/>
      <c r="J1043" s="938"/>
      <c r="K1043" s="938"/>
      <c r="L1043" s="938"/>
      <c r="M1043" s="938"/>
      <c r="N1043" s="938"/>
      <c r="O1043" s="938"/>
      <c r="P1043" s="938"/>
      <c r="Q1043" s="938"/>
      <c r="R1043" s="938"/>
      <c r="S1043" s="938"/>
      <c r="T1043" s="938"/>
      <c r="U1043" s="938"/>
      <c r="V1043" s="938"/>
      <c r="W1043" s="938"/>
      <c r="X1043" s="938"/>
      <c r="Y1043" s="938"/>
      <c r="Z1043" s="938"/>
      <c r="AA1043" s="938"/>
      <c r="AB1043" s="938"/>
      <c r="AC1043" s="938"/>
      <c r="AD1043" s="938"/>
      <c r="AE1043" s="938"/>
      <c r="AF1043" s="938"/>
      <c r="AG1043" s="938"/>
      <c r="AH1043" s="938"/>
      <c r="AI1043" s="938"/>
      <c r="AJ1043" s="938"/>
      <c r="AK1043" s="938"/>
    </row>
    <row r="1044" spans="1:38" ht="13.35" customHeight="1">
      <c r="D1044" s="938"/>
      <c r="E1044" s="938"/>
      <c r="F1044" s="938"/>
      <c r="G1044" s="938"/>
      <c r="H1044" s="938"/>
      <c r="I1044" s="938"/>
      <c r="J1044" s="938"/>
      <c r="K1044" s="938"/>
      <c r="L1044" s="938"/>
      <c r="M1044" s="938"/>
      <c r="N1044" s="938"/>
      <c r="O1044" s="938"/>
      <c r="P1044" s="938"/>
      <c r="Q1044" s="938"/>
      <c r="R1044" s="938"/>
      <c r="S1044" s="938"/>
      <c r="T1044" s="938"/>
      <c r="U1044" s="938"/>
      <c r="V1044" s="938"/>
      <c r="W1044" s="938"/>
      <c r="X1044" s="938"/>
      <c r="Y1044" s="938"/>
      <c r="Z1044" s="938"/>
      <c r="AA1044" s="938"/>
      <c r="AB1044" s="938"/>
      <c r="AC1044" s="938"/>
      <c r="AD1044" s="938"/>
      <c r="AE1044" s="938"/>
      <c r="AF1044" s="938"/>
      <c r="AG1044" s="938"/>
      <c r="AH1044" s="938"/>
      <c r="AI1044" s="938"/>
      <c r="AJ1044" s="938"/>
      <c r="AK1044" s="938"/>
    </row>
    <row r="1045" spans="1:38" ht="13.35" customHeight="1">
      <c r="A1045" s="47"/>
      <c r="B1045" s="47"/>
      <c r="C1045" s="47"/>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5" priority="43" stopIfTrue="1" operator="equal">
      <formula>#N/A</formula>
    </cfRule>
  </conditionalFormatting>
  <conditionalFormatting sqref="C546:C557 M546:M557 Q546:AS557 Q619:Q629 T619:T629 W619:W629 Z619:Z629 AC619:AS629">
    <cfRule type="expression" dxfId="94" priority="5">
      <formula>$AT546="!"</formula>
    </cfRule>
  </conditionalFormatting>
  <conditionalFormatting sqref="C718:AH719">
    <cfRule type="expression" dxfId="93" priority="3">
      <formula>NOT($D$214="Special Needs")</formula>
    </cfRule>
  </conditionalFormatting>
  <conditionalFormatting sqref="E218">
    <cfRule type="expression" dxfId="92" priority="31">
      <formula>NOT(OR($D$214="Seniors",$E$217="Seniors"))</formula>
    </cfRule>
  </conditionalFormatting>
  <conditionalFormatting sqref="E219">
    <cfRule type="expression" dxfId="91" priority="30">
      <formula>NOT($D$214="At-Risk")</formula>
    </cfRule>
  </conditionalFormatting>
  <conditionalFormatting sqref="E215:AA215">
    <cfRule type="expression" dxfId="90" priority="36">
      <formula>NOT($D$214="Special Needs")</formula>
    </cfRule>
  </conditionalFormatting>
  <conditionalFormatting sqref="E217:AA217">
    <cfRule type="expression" dxfId="89" priority="33">
      <formula>AND($AC$215&gt;0,$AF$215&lt;75%)</formula>
    </cfRule>
  </conditionalFormatting>
  <conditionalFormatting sqref="E857:AB858">
    <cfRule type="expression" dxfId="88" priority="14">
      <formula>AND(AC857&lt;&gt;"",OR(E857="Other (Specify):",E857=""))</formula>
    </cfRule>
  </conditionalFormatting>
  <conditionalFormatting sqref="E216:AI216">
    <cfRule type="expression" dxfId="87" priority="34">
      <formula>AND($AC$215&gt;0,$AF$215&lt;75%)</formula>
    </cfRule>
  </conditionalFormatting>
  <conditionalFormatting sqref="F795:L795">
    <cfRule type="expression" dxfId="86" priority="20">
      <formula>AND(OR(M795&lt;&gt;"",$Q$795&lt;&gt;"",$U$795&lt;&gt;"",$Y$795&lt;&gt;"",$AC$795&lt;&gt;"",$AG$795&lt;&gt;""),OR(F795="(specify here)",F795=""))</formula>
    </cfRule>
  </conditionalFormatting>
  <conditionalFormatting sqref="L501:AB501">
    <cfRule type="expression" dxfId="85" priority="28">
      <formula>AND(NOT(AC501="N/A"),AH501&lt;&gt;"",OR(L501="(specify here)",L501=""))</formula>
    </cfRule>
  </conditionalFormatting>
  <conditionalFormatting sqref="M810:V810">
    <cfRule type="expression" dxfId="84" priority="19">
      <formula>AND(W810&lt;&gt;"",OR(M810="(specify here)",M810=""))</formula>
    </cfRule>
  </conditionalFormatting>
  <conditionalFormatting sqref="M825:V825">
    <cfRule type="expression" dxfId="83" priority="18">
      <formula>AND(W825&lt;&gt;"",OR(M825="(specify here)",M825=""))</formula>
    </cfRule>
  </conditionalFormatting>
  <conditionalFormatting sqref="M835:V835">
    <cfRule type="expression" dxfId="82" priority="17">
      <formula>AND(W835&lt;&gt;"",OR(M835="(specify here)",M835=""))</formula>
    </cfRule>
  </conditionalFormatting>
  <conditionalFormatting sqref="M838:V842">
    <cfRule type="expression" dxfId="81" priority="16">
      <formula>AND(W838&lt;&gt;"",OR(M838="(specify here)",M838=""))</formula>
    </cfRule>
  </conditionalFormatting>
  <conditionalFormatting sqref="O512:AA512">
    <cfRule type="expression" dxfId="80" priority="27">
      <formula>AND(OR(AND(NOT(AC512="N/A"),AH512&lt;&gt;""),AND(NOT(AC513="N/A"),AH513&lt;&gt;""),AND(NOT(AC514="N/A"),AH514&lt;&gt;"")),OR(O512="(specify here)",O512=""))</formula>
    </cfRule>
  </conditionalFormatting>
  <conditionalFormatting sqref="O515:AA515">
    <cfRule type="expression" dxfId="79" priority="10">
      <formula>AND(OR(AND(NOT(AC515="N/A"),AH515&lt;&gt;""),AND(NOT(AC516="N/A"),AH516&lt;&gt;""),AND(NOT(AC517="N/A"),AH517&lt;&gt;"")),OR(O515="(specify here)",O515=""))</formula>
    </cfRule>
  </conditionalFormatting>
  <conditionalFormatting sqref="O518:AA518">
    <cfRule type="expression" dxfId="78" priority="9">
      <formula>AND(OR(AND(NOT(AC518="N/A"),AH518&lt;&gt;""),AND(NOT(AC519="N/A"),AH519&lt;&gt;""),AND(NOT(AC520="N/A"),AH520&lt;&gt;"")),OR(O518="(specify here)",O518=""))</formula>
    </cfRule>
  </conditionalFormatting>
  <conditionalFormatting sqref="O521:AA521">
    <cfRule type="expression" dxfId="77" priority="8">
      <formula>AND(OR(AND(NOT(AC521="N/A"),AH521&lt;&gt;""),AND(NOT(AC522="N/A"),AH522&lt;&gt;""),AND(NOT(AC523="N/A"),AH523&lt;&gt;"")),OR(O521="(specify here)",O521=""))</formula>
    </cfRule>
  </conditionalFormatting>
  <conditionalFormatting sqref="O524:AA524">
    <cfRule type="expression" dxfId="76" priority="7">
      <formula>AND(OR(AND(NOT(AC524="N/A"),AH524&lt;&gt;""),AND(NOT(AC525="N/A"),AH525&lt;&gt;""),AND(NOT(AC526="N/A"),AH526&lt;&gt;"")),OR(O524="(specify here)",O524=""))</formula>
    </cfRule>
  </conditionalFormatting>
  <conditionalFormatting sqref="O527:AA527">
    <cfRule type="expression" dxfId="75" priority="6">
      <formula>AND(OR(AND(NOT(AC527="N/A"),AH527&lt;&gt;""),AND(NOT(AC528="N/A"),AH528&lt;&gt;""),AND(NOT(AC529="N/A"),AH529&lt;&gt;"")),OR(O527="(specify here)",O527=""))</formula>
    </cfRule>
  </conditionalFormatting>
  <conditionalFormatting sqref="P780:Y780">
    <cfRule type="expression" dxfId="74" priority="21">
      <formula>AND(Z780&lt;&gt;"",OR(P780="(specify here)",P780=""))</formula>
    </cfRule>
  </conditionalFormatting>
  <conditionalFormatting sqref="U720">
    <cfRule type="expression" dxfId="73" priority="2">
      <formula>NOT($D$214="Special Needs")</formula>
    </cfRule>
  </conditionalFormatting>
  <conditionalFormatting sqref="W922:AG922">
    <cfRule type="expression" dxfId="72" priority="11">
      <formula>AND($AA$923&lt;&gt;"",OR($W$922="",$W$922="(specify here)"))</formula>
    </cfRule>
  </conditionalFormatting>
  <conditionalFormatting sqref="AC215:AG215">
    <cfRule type="expression" dxfId="71" priority="35">
      <formula>NOT($D$214="Special Needs")</formula>
    </cfRule>
  </conditionalFormatting>
  <conditionalFormatting sqref="AC218:AN218">
    <cfRule type="expression" dxfId="70" priority="32">
      <formula>NOT(OR($D$214="Seniors",$E$217="Seniors"))</formula>
    </cfRule>
  </conditionalFormatting>
  <conditionalFormatting sqref="AC219:AN219">
    <cfRule type="expression" dxfId="69" priority="29">
      <formula>NOT($D$214="At-Risk")</formula>
    </cfRule>
  </conditionalFormatting>
  <conditionalFormatting sqref="AF964">
    <cfRule type="cellIs" dxfId="68" priority="39" stopIfTrue="1" operator="equal">
      <formula>"Please Enter Amount:"</formula>
    </cfRule>
  </conditionalFormatting>
  <conditionalFormatting sqref="AF969">
    <cfRule type="cellIs" dxfId="67" priority="37" stopIfTrue="1" operator="equal">
      <formula>"Please Enter Amount:"</formula>
    </cfRule>
  </conditionalFormatting>
  <conditionalFormatting sqref="AF976">
    <cfRule type="cellIs" dxfId="66" priority="38" stopIfTrue="1" operator="equal">
      <formula>"Please Enter Amount:"</formula>
    </cfRule>
  </conditionalFormatting>
  <conditionalFormatting sqref="AG434:AJ434">
    <cfRule type="expression" dxfId="65" priority="45" stopIfTrue="1">
      <formula>"iserror(d31)"</formula>
    </cfRule>
  </conditionalFormatting>
  <conditionalFormatting sqref="AG720:AJ720">
    <cfRule type="expression" dxfId="64"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10" fitToHeight="2"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D107" zoomScaleNormal="100" workbookViewId="0">
      <selection activeCell="S116" sqref="S116"/>
    </sheetView>
  </sheetViews>
  <sheetFormatPr defaultColWidth="8.71875" defaultRowHeight="11.4" zeroHeight="1"/>
  <cols>
    <col min="1" max="1" width="32.44140625" style="408" customWidth="1"/>
    <col min="2" max="12" width="12.1640625" style="406" customWidth="1"/>
    <col min="13" max="17" width="11.44140625" style="406" customWidth="1"/>
    <col min="18" max="18" width="12.44140625" style="406" customWidth="1"/>
    <col min="19" max="20" width="12.1640625" style="406" customWidth="1"/>
    <col min="21" max="21" width="0.44140625" style="407" customWidth="1"/>
    <col min="22" max="16384" width="8.71875" style="406"/>
  </cols>
  <sheetData>
    <row r="1" spans="1:21" s="171" customFormat="1" ht="12.6">
      <c r="A1" s="226" t="s">
        <v>1670</v>
      </c>
      <c r="B1" s="193"/>
      <c r="C1" s="193"/>
      <c r="D1" s="193"/>
      <c r="E1" s="194"/>
      <c r="F1" s="1499" t="s">
        <v>1671</v>
      </c>
      <c r="G1" s="1500"/>
      <c r="H1" s="1500"/>
      <c r="I1" s="1500"/>
      <c r="J1" s="1500"/>
      <c r="K1" s="1500"/>
      <c r="L1" s="1500"/>
      <c r="M1" s="1500"/>
      <c r="N1" s="1500"/>
      <c r="O1" s="1500"/>
      <c r="P1" s="1500"/>
      <c r="Q1" s="1500"/>
      <c r="R1" s="1501"/>
      <c r="S1" s="173"/>
      <c r="T1" s="172"/>
      <c r="U1" s="174"/>
    </row>
    <row r="2" spans="1:21" s="198" customFormat="1" ht="60" customHeight="1">
      <c r="A2" s="197"/>
      <c r="B2" s="198" t="s">
        <v>1672</v>
      </c>
      <c r="C2" s="198" t="s">
        <v>1673</v>
      </c>
      <c r="D2" s="198" t="s">
        <v>1674</v>
      </c>
      <c r="E2" s="198" t="s">
        <v>1675</v>
      </c>
      <c r="F2" s="199" t="str">
        <f>Application!B618&amp;Application!C618</f>
        <v>1)Cal Bank &amp; Trust</v>
      </c>
      <c r="G2" s="199" t="str">
        <f>Application!B619&amp;Application!C619</f>
        <v xml:space="preserve">2)County - LACDA </v>
      </c>
      <c r="H2" s="199" t="str">
        <f>Application!B620&amp;Application!C620</f>
        <v>3)</v>
      </c>
      <c r="I2" s="199" t="str">
        <f>Application!B621&amp;Application!C621</f>
        <v>4)</v>
      </c>
      <c r="J2" s="199" t="str">
        <f>Application!B622&amp;Application!C622</f>
        <v>5)</v>
      </c>
      <c r="K2" s="199" t="str">
        <f>Application!B623&amp;Application!C623</f>
        <v>6)</v>
      </c>
      <c r="L2" s="199" t="str">
        <f>Application!B624&amp;Application!C624</f>
        <v>7)</v>
      </c>
      <c r="M2" s="199" t="str">
        <f>Application!B625&amp;Application!C625</f>
        <v>8)</v>
      </c>
      <c r="N2" s="199" t="str">
        <f>Application!B626&amp;Application!C626</f>
        <v>9)</v>
      </c>
      <c r="O2" s="199" t="str">
        <f>Application!B627&amp;Application!C627</f>
        <v>10)</v>
      </c>
      <c r="P2" s="199" t="str">
        <f>Application!B628&amp;Application!C628</f>
        <v>11)</v>
      </c>
      <c r="Q2" s="199" t="str">
        <f>Application!B629&amp;Application!C629</f>
        <v>12)</v>
      </c>
      <c r="R2" s="198" t="s">
        <v>1676</v>
      </c>
      <c r="S2" s="198" t="s">
        <v>1677</v>
      </c>
      <c r="T2" s="198" t="s">
        <v>1678</v>
      </c>
      <c r="U2" s="200"/>
    </row>
    <row r="3" spans="1:21" s="204" customFormat="1">
      <c r="A3" s="201" t="s">
        <v>1679</v>
      </c>
      <c r="B3" s="202"/>
      <c r="C3" s="202"/>
      <c r="D3" s="202"/>
      <c r="E3" s="202"/>
      <c r="F3" s="202"/>
      <c r="G3" s="202"/>
      <c r="H3" s="202"/>
      <c r="I3" s="202"/>
      <c r="J3" s="202"/>
      <c r="K3" s="202"/>
      <c r="L3" s="202"/>
      <c r="M3" s="202"/>
      <c r="N3" s="202"/>
      <c r="O3" s="202"/>
      <c r="P3" s="202"/>
      <c r="Q3" s="202"/>
      <c r="R3" s="202"/>
      <c r="S3" s="202"/>
      <c r="T3" s="202"/>
      <c r="U3" s="203"/>
    </row>
    <row r="4" spans="1:21" s="204" customFormat="1" ht="13.2">
      <c r="A4" s="256" t="s">
        <v>1680</v>
      </c>
      <c r="B4" s="206">
        <f>SUM(C4+D4)</f>
        <v>2200000</v>
      </c>
      <c r="C4" s="207">
        <v>2200000</v>
      </c>
      <c r="D4" s="207"/>
      <c r="E4" s="207">
        <f>+C4-F4-G4</f>
        <v>0</v>
      </c>
      <c r="F4" s="207"/>
      <c r="G4" s="207">
        <v>2200000</v>
      </c>
      <c r="H4" s="207"/>
      <c r="I4" s="207"/>
      <c r="J4" s="207"/>
      <c r="K4" s="207"/>
      <c r="L4" s="207"/>
      <c r="M4" s="207"/>
      <c r="N4" s="207"/>
      <c r="O4" s="207"/>
      <c r="P4" s="207"/>
      <c r="Q4" s="207"/>
      <c r="R4" s="207">
        <f>SUM(E4:Q4)</f>
        <v>2200000</v>
      </c>
      <c r="S4" s="208"/>
      <c r="T4" s="208"/>
      <c r="U4" s="203"/>
    </row>
    <row r="5" spans="1:21" s="204" customFormat="1" ht="13.2">
      <c r="A5" s="256" t="s">
        <v>1681</v>
      </c>
      <c r="B5" s="206">
        <f>SUM(C5+D5)</f>
        <v>55000</v>
      </c>
      <c r="C5" s="207">
        <v>55000</v>
      </c>
      <c r="D5" s="207"/>
      <c r="E5" s="207">
        <f t="shared" ref="E5:E6" si="0">+C5-F5-G5</f>
        <v>0</v>
      </c>
      <c r="F5" s="207"/>
      <c r="G5" s="207">
        <v>55000</v>
      </c>
      <c r="H5" s="207"/>
      <c r="I5" s="207"/>
      <c r="J5" s="207"/>
      <c r="K5" s="207"/>
      <c r="L5" s="207"/>
      <c r="M5" s="207"/>
      <c r="N5" s="207"/>
      <c r="O5" s="207"/>
      <c r="P5" s="207"/>
      <c r="Q5" s="207"/>
      <c r="R5" s="207">
        <f>SUM(E5:Q5)</f>
        <v>55000</v>
      </c>
      <c r="S5" s="208"/>
      <c r="T5" s="208"/>
      <c r="U5" s="203"/>
    </row>
    <row r="6" spans="1:21" s="204" customFormat="1">
      <c r="A6" s="205" t="s">
        <v>1682</v>
      </c>
      <c r="B6" s="206">
        <f>SUM(C6+D6)</f>
        <v>62300</v>
      </c>
      <c r="C6" s="207">
        <v>62300</v>
      </c>
      <c r="D6" s="207"/>
      <c r="E6" s="207">
        <f t="shared" si="0"/>
        <v>62300</v>
      </c>
      <c r="F6" s="207"/>
      <c r="G6" s="207"/>
      <c r="H6" s="207"/>
      <c r="I6" s="207"/>
      <c r="J6" s="207"/>
      <c r="K6" s="207"/>
      <c r="L6" s="207"/>
      <c r="M6" s="207"/>
      <c r="N6" s="207"/>
      <c r="O6" s="207"/>
      <c r="P6" s="207"/>
      <c r="Q6" s="207"/>
      <c r="R6" s="207">
        <f>SUM(E6:Q6)</f>
        <v>62300</v>
      </c>
      <c r="S6" s="208"/>
      <c r="T6" s="208"/>
      <c r="U6" s="203"/>
    </row>
    <row r="7" spans="1:21" s="204" customFormat="1">
      <c r="A7" s="205" t="s">
        <v>1683</v>
      </c>
      <c r="B7" s="206">
        <f>SUM(C7+D7)</f>
        <v>0</v>
      </c>
      <c r="C7" s="207"/>
      <c r="D7" s="207"/>
      <c r="E7" s="207"/>
      <c r="F7" s="207"/>
      <c r="G7" s="207"/>
      <c r="H7" s="207"/>
      <c r="I7" s="207"/>
      <c r="J7" s="207"/>
      <c r="K7" s="207"/>
      <c r="L7" s="207"/>
      <c r="M7" s="207"/>
      <c r="N7" s="207"/>
      <c r="O7" s="207"/>
      <c r="P7" s="207"/>
      <c r="Q7" s="207"/>
      <c r="R7" s="207"/>
      <c r="S7" s="208"/>
      <c r="T7" s="208"/>
      <c r="U7" s="203"/>
    </row>
    <row r="8" spans="1:21" s="204" customFormat="1" ht="13.2">
      <c r="A8" s="257" t="s">
        <v>1684</v>
      </c>
      <c r="B8" s="206">
        <f>SUM(C8:D8)</f>
        <v>2317300</v>
      </c>
      <c r="C8" s="206">
        <f t="shared" ref="C8:R8" si="1">SUM(C4:C7)</f>
        <v>2317300</v>
      </c>
      <c r="D8" s="206">
        <f t="shared" si="1"/>
        <v>0</v>
      </c>
      <c r="E8" s="206">
        <f t="shared" si="1"/>
        <v>62300</v>
      </c>
      <c r="F8" s="206">
        <f t="shared" si="1"/>
        <v>0</v>
      </c>
      <c r="G8" s="206">
        <f t="shared" si="1"/>
        <v>2255000</v>
      </c>
      <c r="H8" s="206">
        <f t="shared" si="1"/>
        <v>0</v>
      </c>
      <c r="I8" s="206">
        <f t="shared" si="1"/>
        <v>0</v>
      </c>
      <c r="J8" s="206">
        <f t="shared" si="1"/>
        <v>0</v>
      </c>
      <c r="K8" s="206">
        <f t="shared" si="1"/>
        <v>0</v>
      </c>
      <c r="L8" s="206">
        <f t="shared" si="1"/>
        <v>0</v>
      </c>
      <c r="M8" s="206">
        <f t="shared" si="1"/>
        <v>0</v>
      </c>
      <c r="N8" s="206">
        <f t="shared" si="1"/>
        <v>0</v>
      </c>
      <c r="O8" s="206">
        <f t="shared" si="1"/>
        <v>0</v>
      </c>
      <c r="P8" s="206">
        <f t="shared" si="1"/>
        <v>0</v>
      </c>
      <c r="Q8" s="206">
        <f t="shared" si="1"/>
        <v>0</v>
      </c>
      <c r="R8" s="206">
        <f t="shared" si="1"/>
        <v>2317300</v>
      </c>
      <c r="S8" s="208"/>
      <c r="T8" s="208"/>
      <c r="U8" s="203"/>
    </row>
    <row r="9" spans="1:21" s="204" customFormat="1">
      <c r="A9" s="205" t="s">
        <v>1685</v>
      </c>
      <c r="B9" s="206">
        <f>SUM(C9+D9)</f>
        <v>0</v>
      </c>
      <c r="C9" s="207"/>
      <c r="D9" s="207"/>
      <c r="E9" s="207"/>
      <c r="F9" s="207"/>
      <c r="G9" s="207"/>
      <c r="H9" s="207"/>
      <c r="I9" s="207"/>
      <c r="J9" s="207"/>
      <c r="K9" s="207"/>
      <c r="L9" s="207"/>
      <c r="M9" s="207"/>
      <c r="N9" s="207"/>
      <c r="O9" s="207"/>
      <c r="P9" s="207"/>
      <c r="Q9" s="207"/>
      <c r="R9" s="207"/>
      <c r="S9" s="208"/>
      <c r="T9" s="207"/>
      <c r="U9" s="203"/>
    </row>
    <row r="10" spans="1:21" s="204" customFormat="1" ht="13.2">
      <c r="A10" s="256" t="s">
        <v>1686</v>
      </c>
      <c r="B10" s="206">
        <f>SUM(C10+D10)</f>
        <v>100000</v>
      </c>
      <c r="C10" s="207">
        <v>100000</v>
      </c>
      <c r="D10" s="207"/>
      <c r="E10" s="207">
        <f>+C10-F10-G10</f>
        <v>0</v>
      </c>
      <c r="F10" s="207">
        <v>100000</v>
      </c>
      <c r="G10" s="207"/>
      <c r="H10" s="207"/>
      <c r="I10" s="207"/>
      <c r="J10" s="207"/>
      <c r="K10" s="207"/>
      <c r="L10" s="207"/>
      <c r="M10" s="207"/>
      <c r="N10" s="207"/>
      <c r="O10" s="207"/>
      <c r="P10" s="207"/>
      <c r="Q10" s="207"/>
      <c r="R10" s="207">
        <f>SUM(E10:Q10)</f>
        <v>100000</v>
      </c>
      <c r="S10" s="207">
        <f>R10</f>
        <v>100000</v>
      </c>
      <c r="T10" s="207"/>
      <c r="U10" s="203"/>
    </row>
    <row r="11" spans="1:21" s="204" customFormat="1">
      <c r="A11" s="209" t="s">
        <v>1687</v>
      </c>
      <c r="B11" s="206">
        <f>SUM(C11:D11)</f>
        <v>100000</v>
      </c>
      <c r="C11" s="206">
        <f t="shared" ref="C11:T11" si="2">SUM(C9:C10)</f>
        <v>100000</v>
      </c>
      <c r="D11" s="206">
        <f t="shared" si="2"/>
        <v>0</v>
      </c>
      <c r="E11" s="206">
        <f t="shared" si="2"/>
        <v>0</v>
      </c>
      <c r="F11" s="206">
        <f t="shared" si="2"/>
        <v>100000</v>
      </c>
      <c r="G11" s="206">
        <f t="shared" si="2"/>
        <v>0</v>
      </c>
      <c r="H11" s="206">
        <f t="shared" si="2"/>
        <v>0</v>
      </c>
      <c r="I11" s="206">
        <f t="shared" si="2"/>
        <v>0</v>
      </c>
      <c r="J11" s="206">
        <f t="shared" si="2"/>
        <v>0</v>
      </c>
      <c r="K11" s="206">
        <f t="shared" si="2"/>
        <v>0</v>
      </c>
      <c r="L11" s="206">
        <f t="shared" si="2"/>
        <v>0</v>
      </c>
      <c r="M11" s="206">
        <f t="shared" si="2"/>
        <v>0</v>
      </c>
      <c r="N11" s="206">
        <f t="shared" si="2"/>
        <v>0</v>
      </c>
      <c r="O11" s="206">
        <f t="shared" si="2"/>
        <v>0</v>
      </c>
      <c r="P11" s="206">
        <f t="shared" si="2"/>
        <v>0</v>
      </c>
      <c r="Q11" s="206">
        <f t="shared" si="2"/>
        <v>0</v>
      </c>
      <c r="R11" s="206">
        <f t="shared" si="2"/>
        <v>100000</v>
      </c>
      <c r="S11" s="208"/>
      <c r="T11" s="206">
        <f t="shared" si="2"/>
        <v>0</v>
      </c>
      <c r="U11" s="203"/>
    </row>
    <row r="12" spans="1:21" s="204" customFormat="1">
      <c r="A12" s="209" t="s">
        <v>1688</v>
      </c>
      <c r="B12" s="206">
        <f t="shared" ref="B12:R12" si="3">SUM(B8+B11)</f>
        <v>2417300</v>
      </c>
      <c r="C12" s="206">
        <f t="shared" si="3"/>
        <v>2417300</v>
      </c>
      <c r="D12" s="206">
        <f t="shared" si="3"/>
        <v>0</v>
      </c>
      <c r="E12" s="206">
        <f t="shared" si="3"/>
        <v>62300</v>
      </c>
      <c r="F12" s="206">
        <f t="shared" si="3"/>
        <v>100000</v>
      </c>
      <c r="G12" s="206">
        <f t="shared" si="3"/>
        <v>2255000</v>
      </c>
      <c r="H12" s="206">
        <f t="shared" si="3"/>
        <v>0</v>
      </c>
      <c r="I12" s="206">
        <f t="shared" si="3"/>
        <v>0</v>
      </c>
      <c r="J12" s="206">
        <f t="shared" si="3"/>
        <v>0</v>
      </c>
      <c r="K12" s="206">
        <f t="shared" si="3"/>
        <v>0</v>
      </c>
      <c r="L12" s="206">
        <f t="shared" si="3"/>
        <v>0</v>
      </c>
      <c r="M12" s="206">
        <f t="shared" si="3"/>
        <v>0</v>
      </c>
      <c r="N12" s="206">
        <f t="shared" si="3"/>
        <v>0</v>
      </c>
      <c r="O12" s="206">
        <f t="shared" si="3"/>
        <v>0</v>
      </c>
      <c r="P12" s="206">
        <f t="shared" si="3"/>
        <v>0</v>
      </c>
      <c r="Q12" s="206">
        <f t="shared" si="3"/>
        <v>0</v>
      </c>
      <c r="R12" s="206">
        <f t="shared" si="3"/>
        <v>2417300</v>
      </c>
      <c r="S12" s="208"/>
      <c r="T12" s="208"/>
      <c r="U12" s="203"/>
    </row>
    <row r="13" spans="1:21" s="204" customFormat="1">
      <c r="A13" s="383" t="s">
        <v>1689</v>
      </c>
      <c r="B13" s="206">
        <f>SUM(C13+D13)</f>
        <v>252750</v>
      </c>
      <c r="C13" s="207">
        <v>252750</v>
      </c>
      <c r="D13" s="207"/>
      <c r="E13" s="207">
        <f t="shared" ref="E13:E15" si="4">+C13-F13-G13</f>
        <v>0</v>
      </c>
      <c r="F13" s="207"/>
      <c r="G13" s="207">
        <v>252750</v>
      </c>
      <c r="H13" s="207"/>
      <c r="I13" s="207"/>
      <c r="J13" s="207"/>
      <c r="K13" s="207"/>
      <c r="L13" s="207"/>
      <c r="M13" s="207"/>
      <c r="N13" s="207"/>
      <c r="O13" s="207"/>
      <c r="P13" s="207"/>
      <c r="Q13" s="207"/>
      <c r="R13" s="207">
        <f>SUM(E13:Q13)</f>
        <v>252750</v>
      </c>
      <c r="S13" s="207">
        <v>150000</v>
      </c>
      <c r="T13" s="207"/>
      <c r="U13" s="203"/>
    </row>
    <row r="14" spans="1:21" s="204" customFormat="1" ht="22.8">
      <c r="A14" s="205" t="s">
        <v>1690</v>
      </c>
      <c r="B14" s="206">
        <f>SUM(C14+D14)</f>
        <v>0</v>
      </c>
      <c r="C14" s="207"/>
      <c r="D14" s="207"/>
      <c r="E14" s="207">
        <f t="shared" si="4"/>
        <v>0</v>
      </c>
      <c r="F14" s="207"/>
      <c r="G14" s="207"/>
      <c r="H14" s="207"/>
      <c r="I14" s="207"/>
      <c r="J14" s="207"/>
      <c r="K14" s="207"/>
      <c r="L14" s="207"/>
      <c r="M14" s="207"/>
      <c r="N14" s="207"/>
      <c r="O14" s="207"/>
      <c r="P14" s="207"/>
      <c r="Q14" s="207"/>
      <c r="R14" s="207"/>
      <c r="S14" s="207"/>
      <c r="T14" s="207"/>
      <c r="U14" s="203"/>
    </row>
    <row r="15" spans="1:21" s="204" customFormat="1">
      <c r="A15" s="205" t="s">
        <v>1691</v>
      </c>
      <c r="B15" s="206">
        <f>SUM(C15+D15)</f>
        <v>0</v>
      </c>
      <c r="C15" s="207"/>
      <c r="D15" s="207"/>
      <c r="E15" s="207">
        <f t="shared" si="4"/>
        <v>0</v>
      </c>
      <c r="F15" s="207"/>
      <c r="G15" s="207"/>
      <c r="H15" s="207"/>
      <c r="I15" s="207"/>
      <c r="J15" s="207"/>
      <c r="K15" s="207"/>
      <c r="L15" s="207"/>
      <c r="M15" s="207"/>
      <c r="N15" s="207"/>
      <c r="O15" s="207"/>
      <c r="P15" s="207"/>
      <c r="Q15" s="207"/>
      <c r="R15" s="207"/>
      <c r="S15" s="208"/>
      <c r="T15" s="208"/>
      <c r="U15" s="203"/>
    </row>
    <row r="16" spans="1:21" s="204" customFormat="1">
      <c r="A16" s="201" t="s">
        <v>1692</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1693</v>
      </c>
      <c r="B17" s="206">
        <f t="shared" ref="B17:B27" si="5">SUM(C17:D17)</f>
        <v>0</v>
      </c>
      <c r="C17" s="207"/>
      <c r="D17" s="207"/>
      <c r="E17" s="207"/>
      <c r="F17" s="207"/>
      <c r="G17" s="207"/>
      <c r="H17" s="207"/>
      <c r="I17" s="207"/>
      <c r="J17" s="207"/>
      <c r="K17" s="207"/>
      <c r="L17" s="207"/>
      <c r="M17" s="207"/>
      <c r="N17" s="207"/>
      <c r="O17" s="207"/>
      <c r="P17" s="207"/>
      <c r="Q17" s="207"/>
      <c r="R17" s="207"/>
      <c r="S17" s="207"/>
      <c r="T17" s="207"/>
      <c r="U17" s="203"/>
    </row>
    <row r="18" spans="1:21" s="204" customFormat="1">
      <c r="A18" s="205" t="s">
        <v>1694</v>
      </c>
      <c r="B18" s="206">
        <f t="shared" si="5"/>
        <v>0</v>
      </c>
      <c r="C18" s="207"/>
      <c r="D18" s="207"/>
      <c r="E18" s="207"/>
      <c r="F18" s="207"/>
      <c r="G18" s="207"/>
      <c r="H18" s="207"/>
      <c r="I18" s="207"/>
      <c r="J18" s="207"/>
      <c r="K18" s="207"/>
      <c r="L18" s="207"/>
      <c r="M18" s="207"/>
      <c r="N18" s="207"/>
      <c r="O18" s="207"/>
      <c r="P18" s="207"/>
      <c r="Q18" s="207"/>
      <c r="R18" s="207"/>
      <c r="S18" s="207"/>
      <c r="T18" s="207"/>
      <c r="U18" s="203"/>
    </row>
    <row r="19" spans="1:21" s="204" customFormat="1">
      <c r="A19" s="205" t="s">
        <v>1695</v>
      </c>
      <c r="B19" s="206">
        <f t="shared" si="5"/>
        <v>0</v>
      </c>
      <c r="C19" s="207"/>
      <c r="D19" s="207"/>
      <c r="E19" s="207"/>
      <c r="F19" s="207"/>
      <c r="G19" s="207"/>
      <c r="H19" s="207"/>
      <c r="I19" s="207"/>
      <c r="J19" s="207"/>
      <c r="K19" s="207"/>
      <c r="L19" s="207"/>
      <c r="M19" s="207"/>
      <c r="N19" s="207"/>
      <c r="O19" s="207"/>
      <c r="P19" s="207"/>
      <c r="Q19" s="207"/>
      <c r="R19" s="207"/>
      <c r="S19" s="207"/>
      <c r="T19" s="207"/>
      <c r="U19" s="203"/>
    </row>
    <row r="20" spans="1:21" s="204" customFormat="1">
      <c r="A20" s="205" t="s">
        <v>1696</v>
      </c>
      <c r="B20" s="206">
        <f t="shared" si="5"/>
        <v>0</v>
      </c>
      <c r="C20" s="207"/>
      <c r="D20" s="207"/>
      <c r="E20" s="207"/>
      <c r="F20" s="207"/>
      <c r="G20" s="207"/>
      <c r="H20" s="207"/>
      <c r="I20" s="207"/>
      <c r="J20" s="207"/>
      <c r="K20" s="207"/>
      <c r="L20" s="207"/>
      <c r="M20" s="207"/>
      <c r="N20" s="207"/>
      <c r="O20" s="207"/>
      <c r="P20" s="207"/>
      <c r="Q20" s="207"/>
      <c r="R20" s="207"/>
      <c r="S20" s="207"/>
      <c r="T20" s="207"/>
      <c r="U20" s="203"/>
    </row>
    <row r="21" spans="1:21" s="204" customFormat="1">
      <c r="A21" s="205" t="s">
        <v>1697</v>
      </c>
      <c r="B21" s="206">
        <f t="shared" si="5"/>
        <v>0</v>
      </c>
      <c r="C21" s="207"/>
      <c r="D21" s="207"/>
      <c r="E21" s="207"/>
      <c r="F21" s="207"/>
      <c r="G21" s="207"/>
      <c r="H21" s="207"/>
      <c r="I21" s="207"/>
      <c r="J21" s="207"/>
      <c r="K21" s="207"/>
      <c r="L21" s="207"/>
      <c r="M21" s="207"/>
      <c r="N21" s="207"/>
      <c r="O21" s="207"/>
      <c r="P21" s="207"/>
      <c r="Q21" s="207"/>
      <c r="R21" s="207"/>
      <c r="S21" s="207"/>
      <c r="T21" s="207"/>
      <c r="U21" s="203"/>
    </row>
    <row r="22" spans="1:21" s="204" customFormat="1">
      <c r="A22" s="205" t="s">
        <v>1698</v>
      </c>
      <c r="B22" s="206">
        <f t="shared" si="5"/>
        <v>0</v>
      </c>
      <c r="C22" s="207"/>
      <c r="D22" s="207"/>
      <c r="E22" s="207"/>
      <c r="F22" s="207"/>
      <c r="G22" s="207"/>
      <c r="H22" s="207"/>
      <c r="I22" s="207"/>
      <c r="J22" s="207"/>
      <c r="K22" s="207"/>
      <c r="L22" s="207"/>
      <c r="M22" s="207"/>
      <c r="N22" s="207"/>
      <c r="O22" s="207"/>
      <c r="P22" s="207"/>
      <c r="Q22" s="207"/>
      <c r="R22" s="207"/>
      <c r="S22" s="207"/>
      <c r="T22" s="207"/>
      <c r="U22" s="203"/>
    </row>
    <row r="23" spans="1:21" s="204" customFormat="1">
      <c r="A23" s="205" t="s">
        <v>1699</v>
      </c>
      <c r="B23" s="206">
        <f t="shared" si="5"/>
        <v>0</v>
      </c>
      <c r="C23" s="207"/>
      <c r="D23" s="207"/>
      <c r="E23" s="207"/>
      <c r="F23" s="207"/>
      <c r="G23" s="207"/>
      <c r="H23" s="207"/>
      <c r="I23" s="207"/>
      <c r="J23" s="207"/>
      <c r="K23" s="207"/>
      <c r="L23" s="207"/>
      <c r="M23" s="207"/>
      <c r="N23" s="207"/>
      <c r="O23" s="207"/>
      <c r="P23" s="207"/>
      <c r="Q23" s="207"/>
      <c r="R23" s="207"/>
      <c r="S23" s="207"/>
      <c r="T23" s="207"/>
      <c r="U23" s="203"/>
    </row>
    <row r="24" spans="1:21" s="204" customFormat="1">
      <c r="A24" s="216" t="s">
        <v>1700</v>
      </c>
      <c r="B24" s="206">
        <f t="shared" si="5"/>
        <v>0</v>
      </c>
      <c r="C24" s="207"/>
      <c r="D24" s="207"/>
      <c r="E24" s="207"/>
      <c r="F24" s="207"/>
      <c r="G24" s="207"/>
      <c r="H24" s="207"/>
      <c r="I24" s="207"/>
      <c r="J24" s="207"/>
      <c r="K24" s="207"/>
      <c r="L24" s="207"/>
      <c r="M24" s="207"/>
      <c r="N24" s="207"/>
      <c r="O24" s="207"/>
      <c r="P24" s="207"/>
      <c r="Q24" s="207"/>
      <c r="R24" s="207"/>
      <c r="S24" s="207"/>
      <c r="T24" s="207"/>
      <c r="U24" s="203"/>
    </row>
    <row r="25" spans="1:21" s="204" customFormat="1">
      <c r="A25" s="212" t="s">
        <v>1701</v>
      </c>
      <c r="B25" s="206">
        <f t="shared" si="5"/>
        <v>0</v>
      </c>
      <c r="C25" s="207"/>
      <c r="D25" s="207"/>
      <c r="E25" s="207"/>
      <c r="F25" s="207"/>
      <c r="G25" s="207"/>
      <c r="H25" s="207"/>
      <c r="I25" s="207"/>
      <c r="J25" s="207"/>
      <c r="K25" s="207"/>
      <c r="L25" s="207"/>
      <c r="M25" s="207"/>
      <c r="N25" s="207"/>
      <c r="O25" s="207"/>
      <c r="P25" s="207"/>
      <c r="Q25" s="207"/>
      <c r="R25" s="207"/>
      <c r="S25" s="207"/>
      <c r="T25" s="207"/>
      <c r="U25" s="203"/>
    </row>
    <row r="26" spans="1:21" s="204" customFormat="1">
      <c r="A26" s="209" t="s">
        <v>1702</v>
      </c>
      <c r="B26" s="206">
        <f t="shared" si="5"/>
        <v>0</v>
      </c>
      <c r="C26" s="206">
        <f>SUM(C17:C25)</f>
        <v>0</v>
      </c>
      <c r="D26" s="206">
        <f>SUM(D17:D25)</f>
        <v>0</v>
      </c>
      <c r="E26" s="206">
        <f>SUM(E17:E25)</f>
        <v>0</v>
      </c>
      <c r="F26" s="206">
        <f t="shared" ref="F26:T26" si="6">SUM(F17:F25)</f>
        <v>0</v>
      </c>
      <c r="G26" s="206">
        <f t="shared" si="6"/>
        <v>0</v>
      </c>
      <c r="H26" s="206">
        <f t="shared" si="6"/>
        <v>0</v>
      </c>
      <c r="I26" s="206">
        <f t="shared" si="6"/>
        <v>0</v>
      </c>
      <c r="J26" s="206">
        <f t="shared" si="6"/>
        <v>0</v>
      </c>
      <c r="K26" s="206">
        <f t="shared" si="6"/>
        <v>0</v>
      </c>
      <c r="L26" s="206">
        <f t="shared" si="6"/>
        <v>0</v>
      </c>
      <c r="M26" s="206">
        <f t="shared" si="6"/>
        <v>0</v>
      </c>
      <c r="N26" s="206">
        <f t="shared" si="6"/>
        <v>0</v>
      </c>
      <c r="O26" s="206">
        <f t="shared" si="6"/>
        <v>0</v>
      </c>
      <c r="P26" s="206">
        <f t="shared" si="6"/>
        <v>0</v>
      </c>
      <c r="Q26" s="206">
        <f t="shared" si="6"/>
        <v>0</v>
      </c>
      <c r="R26" s="206">
        <f>SUM(R17:R25)</f>
        <v>0</v>
      </c>
      <c r="S26" s="210">
        <f t="shared" si="6"/>
        <v>0</v>
      </c>
      <c r="T26" s="210">
        <f t="shared" si="6"/>
        <v>0</v>
      </c>
      <c r="U26" s="203"/>
    </row>
    <row r="27" spans="1:21" s="204" customFormat="1">
      <c r="A27" s="209" t="s">
        <v>1703</v>
      </c>
      <c r="B27" s="206">
        <f t="shared" si="5"/>
        <v>0</v>
      </c>
      <c r="C27" s="207"/>
      <c r="D27" s="207"/>
      <c r="E27" s="207"/>
      <c r="F27" s="207"/>
      <c r="G27" s="207"/>
      <c r="H27" s="207"/>
      <c r="I27" s="207"/>
      <c r="J27" s="207"/>
      <c r="K27" s="207"/>
      <c r="L27" s="207"/>
      <c r="M27" s="207"/>
      <c r="N27" s="207"/>
      <c r="O27" s="207"/>
      <c r="P27" s="207"/>
      <c r="Q27" s="207"/>
      <c r="R27" s="207"/>
      <c r="S27" s="207"/>
      <c r="T27" s="207"/>
      <c r="U27" s="203"/>
    </row>
    <row r="28" spans="1:21" s="204" customFormat="1">
      <c r="A28" s="201" t="s">
        <v>1704</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1693</v>
      </c>
      <c r="B29" s="206">
        <f t="shared" ref="B29:B38" si="7">SUM(C29+D29)</f>
        <v>350000</v>
      </c>
      <c r="C29" s="207">
        <v>350000</v>
      </c>
      <c r="D29" s="207"/>
      <c r="E29" s="207">
        <f t="shared" ref="E29:E37" si="8">+C29-F29-G29</f>
        <v>0</v>
      </c>
      <c r="F29" s="207">
        <v>350000</v>
      </c>
      <c r="G29" s="207"/>
      <c r="H29" s="207"/>
      <c r="I29" s="207"/>
      <c r="J29" s="207"/>
      <c r="K29" s="207"/>
      <c r="L29" s="207"/>
      <c r="M29" s="207"/>
      <c r="N29" s="207"/>
      <c r="O29" s="207"/>
      <c r="P29" s="207"/>
      <c r="Q29" s="207"/>
      <c r="R29" s="207">
        <f t="shared" ref="R29:R37" si="9">SUM(E29:Q29)</f>
        <v>350000</v>
      </c>
      <c r="S29" s="207">
        <f>+R29</f>
        <v>350000</v>
      </c>
      <c r="T29" s="207"/>
      <c r="U29" s="203"/>
    </row>
    <row r="30" spans="1:21" s="204" customFormat="1">
      <c r="A30" s="205" t="s">
        <v>1694</v>
      </c>
      <c r="B30" s="206">
        <f t="shared" si="7"/>
        <v>10960000</v>
      </c>
      <c r="C30" s="207">
        <f>1140000+9720000+100000</f>
        <v>10960000</v>
      </c>
      <c r="D30" s="207"/>
      <c r="E30" s="207">
        <f t="shared" si="8"/>
        <v>10860000</v>
      </c>
      <c r="F30" s="207"/>
      <c r="G30" s="207">
        <v>100000</v>
      </c>
      <c r="H30" s="207"/>
      <c r="I30" s="207"/>
      <c r="J30" s="207"/>
      <c r="K30" s="207"/>
      <c r="L30" s="207"/>
      <c r="M30" s="207"/>
      <c r="N30" s="207"/>
      <c r="O30" s="207"/>
      <c r="P30" s="207"/>
      <c r="Q30" s="207"/>
      <c r="R30" s="207">
        <f t="shared" si="9"/>
        <v>10960000</v>
      </c>
      <c r="S30" s="207">
        <f>+R30</f>
        <v>10960000</v>
      </c>
      <c r="T30" s="207"/>
      <c r="U30" s="203"/>
    </row>
    <row r="31" spans="1:21" s="204" customFormat="1">
      <c r="A31" s="205" t="s">
        <v>1695</v>
      </c>
      <c r="B31" s="206">
        <f t="shared" si="7"/>
        <v>736000</v>
      </c>
      <c r="C31" s="207">
        <v>736000</v>
      </c>
      <c r="D31" s="207"/>
      <c r="E31" s="207">
        <f t="shared" si="8"/>
        <v>0</v>
      </c>
      <c r="F31" s="207">
        <v>736000</v>
      </c>
      <c r="G31" s="207"/>
      <c r="H31" s="207"/>
      <c r="I31" s="207"/>
      <c r="J31" s="207"/>
      <c r="K31" s="207"/>
      <c r="L31" s="207"/>
      <c r="M31" s="207"/>
      <c r="N31" s="207"/>
      <c r="O31" s="207"/>
      <c r="P31" s="207"/>
      <c r="Q31" s="207"/>
      <c r="R31" s="207">
        <f t="shared" si="9"/>
        <v>736000</v>
      </c>
      <c r="S31" s="207">
        <f t="shared" ref="S31:S36" si="10">+R31</f>
        <v>736000</v>
      </c>
      <c r="T31" s="207"/>
      <c r="U31" s="203"/>
    </row>
    <row r="32" spans="1:21" s="204" customFormat="1">
      <c r="A32" s="205" t="s">
        <v>1696</v>
      </c>
      <c r="B32" s="206">
        <f t="shared" si="7"/>
        <v>232000</v>
      </c>
      <c r="C32" s="207">
        <v>232000</v>
      </c>
      <c r="D32" s="207"/>
      <c r="E32" s="207">
        <f t="shared" si="8"/>
        <v>232000</v>
      </c>
      <c r="F32" s="207"/>
      <c r="G32" s="207"/>
      <c r="H32" s="207"/>
      <c r="I32" s="207"/>
      <c r="J32" s="207"/>
      <c r="K32" s="207"/>
      <c r="L32" s="207"/>
      <c r="M32" s="207"/>
      <c r="N32" s="207"/>
      <c r="O32" s="207"/>
      <c r="P32" s="207"/>
      <c r="Q32" s="207"/>
      <c r="R32" s="207">
        <f t="shared" si="9"/>
        <v>232000</v>
      </c>
      <c r="S32" s="207">
        <f t="shared" si="10"/>
        <v>232000</v>
      </c>
      <c r="T32" s="207"/>
      <c r="U32" s="203"/>
    </row>
    <row r="33" spans="1:21" s="204" customFormat="1">
      <c r="A33" s="205" t="s">
        <v>1697</v>
      </c>
      <c r="B33" s="206">
        <f t="shared" si="7"/>
        <v>463000</v>
      </c>
      <c r="C33" s="207">
        <v>463000</v>
      </c>
      <c r="D33" s="207"/>
      <c r="E33" s="207">
        <f t="shared" si="8"/>
        <v>463000</v>
      </c>
      <c r="F33" s="207"/>
      <c r="G33" s="207"/>
      <c r="H33" s="207"/>
      <c r="I33" s="207"/>
      <c r="J33" s="207"/>
      <c r="K33" s="207"/>
      <c r="L33" s="207"/>
      <c r="M33" s="207"/>
      <c r="N33" s="207"/>
      <c r="O33" s="207"/>
      <c r="P33" s="207"/>
      <c r="Q33" s="207"/>
      <c r="R33" s="207">
        <f>SUM(E33:Q33)</f>
        <v>463000</v>
      </c>
      <c r="S33" s="207">
        <f t="shared" si="10"/>
        <v>463000</v>
      </c>
      <c r="T33" s="207"/>
      <c r="U33" s="203"/>
    </row>
    <row r="34" spans="1:21" s="204" customFormat="1">
      <c r="A34" s="205" t="s">
        <v>1698</v>
      </c>
      <c r="B34" s="206">
        <f t="shared" si="7"/>
        <v>780000</v>
      </c>
      <c r="C34" s="207">
        <f>670000+110000</f>
        <v>780000</v>
      </c>
      <c r="D34" s="207"/>
      <c r="E34" s="207">
        <f t="shared" si="8"/>
        <v>780000</v>
      </c>
      <c r="F34" s="207"/>
      <c r="G34" s="207"/>
      <c r="H34" s="207"/>
      <c r="I34" s="207"/>
      <c r="J34" s="207"/>
      <c r="K34" s="207"/>
      <c r="L34" s="207"/>
      <c r="M34" s="207"/>
      <c r="N34" s="207"/>
      <c r="O34" s="207"/>
      <c r="P34" s="207"/>
      <c r="Q34" s="207"/>
      <c r="R34" s="207">
        <f t="shared" si="9"/>
        <v>780000</v>
      </c>
      <c r="S34" s="207">
        <f t="shared" si="10"/>
        <v>780000</v>
      </c>
      <c r="T34" s="207"/>
      <c r="U34" s="203"/>
    </row>
    <row r="35" spans="1:21" s="204" customFormat="1">
      <c r="A35" s="205" t="s">
        <v>1699</v>
      </c>
      <c r="B35" s="206">
        <f t="shared" si="7"/>
        <v>195000</v>
      </c>
      <c r="C35" s="207">
        <v>195000</v>
      </c>
      <c r="D35" s="207"/>
      <c r="E35" s="207">
        <f t="shared" si="8"/>
        <v>195000</v>
      </c>
      <c r="F35" s="207"/>
      <c r="G35" s="207"/>
      <c r="H35" s="207"/>
      <c r="I35" s="207"/>
      <c r="J35" s="207"/>
      <c r="K35" s="207"/>
      <c r="L35" s="207"/>
      <c r="M35" s="207"/>
      <c r="N35" s="207"/>
      <c r="O35" s="207"/>
      <c r="P35" s="207"/>
      <c r="Q35" s="207"/>
      <c r="R35" s="207">
        <f t="shared" si="9"/>
        <v>195000</v>
      </c>
      <c r="S35" s="207">
        <f t="shared" si="10"/>
        <v>195000</v>
      </c>
      <c r="T35" s="207"/>
      <c r="U35" s="203"/>
    </row>
    <row r="36" spans="1:21" s="204" customFormat="1">
      <c r="A36" s="216" t="s">
        <v>1700</v>
      </c>
      <c r="B36" s="206">
        <f t="shared" si="7"/>
        <v>84000</v>
      </c>
      <c r="C36" s="207">
        <v>84000</v>
      </c>
      <c r="D36" s="207"/>
      <c r="E36" s="207">
        <f t="shared" si="8"/>
        <v>0</v>
      </c>
      <c r="F36" s="207">
        <v>84000</v>
      </c>
      <c r="G36" s="207"/>
      <c r="H36" s="207"/>
      <c r="I36" s="207"/>
      <c r="J36" s="207"/>
      <c r="K36" s="207"/>
      <c r="L36" s="207"/>
      <c r="M36" s="207"/>
      <c r="N36" s="207"/>
      <c r="O36" s="207"/>
      <c r="P36" s="207"/>
      <c r="Q36" s="207"/>
      <c r="R36" s="207">
        <f t="shared" si="9"/>
        <v>84000</v>
      </c>
      <c r="S36" s="207">
        <f t="shared" si="10"/>
        <v>84000</v>
      </c>
      <c r="T36" s="207"/>
      <c r="U36" s="203"/>
    </row>
    <row r="37" spans="1:21" s="204" customFormat="1">
      <c r="A37" s="212" t="s">
        <v>1701</v>
      </c>
      <c r="B37" s="206">
        <f t="shared" si="7"/>
        <v>0</v>
      </c>
      <c r="C37" s="207">
        <v>0</v>
      </c>
      <c r="D37" s="207"/>
      <c r="E37" s="207">
        <f t="shared" si="8"/>
        <v>0</v>
      </c>
      <c r="F37" s="207"/>
      <c r="G37" s="207"/>
      <c r="H37" s="207"/>
      <c r="I37" s="207"/>
      <c r="J37" s="207"/>
      <c r="K37" s="207"/>
      <c r="L37" s="207"/>
      <c r="M37" s="207"/>
      <c r="N37" s="207"/>
      <c r="O37" s="207"/>
      <c r="P37" s="207"/>
      <c r="Q37" s="207"/>
      <c r="R37" s="207">
        <f t="shared" si="9"/>
        <v>0</v>
      </c>
      <c r="S37" s="207">
        <v>0</v>
      </c>
      <c r="T37" s="207"/>
      <c r="U37" s="203"/>
    </row>
    <row r="38" spans="1:21" s="204" customFormat="1">
      <c r="A38" s="209" t="s">
        <v>1705</v>
      </c>
      <c r="B38" s="206">
        <f t="shared" si="7"/>
        <v>13800000</v>
      </c>
      <c r="C38" s="206">
        <f>SUM(C29:C37)</f>
        <v>13800000</v>
      </c>
      <c r="D38" s="206">
        <f>SUM(D29:D37)</f>
        <v>0</v>
      </c>
      <c r="E38" s="206">
        <f>SUM(E29:E37)</f>
        <v>12530000</v>
      </c>
      <c r="F38" s="206">
        <f t="shared" ref="F38:T38" si="11">SUM(F29:F37)</f>
        <v>1170000</v>
      </c>
      <c r="G38" s="206">
        <f t="shared" si="11"/>
        <v>100000</v>
      </c>
      <c r="H38" s="206">
        <f t="shared" si="11"/>
        <v>0</v>
      </c>
      <c r="I38" s="206">
        <f t="shared" si="11"/>
        <v>0</v>
      </c>
      <c r="J38" s="206">
        <f t="shared" si="11"/>
        <v>0</v>
      </c>
      <c r="K38" s="206">
        <f t="shared" si="11"/>
        <v>0</v>
      </c>
      <c r="L38" s="206">
        <f t="shared" si="11"/>
        <v>0</v>
      </c>
      <c r="M38" s="206">
        <f t="shared" si="11"/>
        <v>0</v>
      </c>
      <c r="N38" s="206">
        <f t="shared" si="11"/>
        <v>0</v>
      </c>
      <c r="O38" s="206">
        <f t="shared" si="11"/>
        <v>0</v>
      </c>
      <c r="P38" s="206">
        <f t="shared" si="11"/>
        <v>0</v>
      </c>
      <c r="Q38" s="206">
        <f t="shared" si="11"/>
        <v>0</v>
      </c>
      <c r="R38" s="206">
        <f t="shared" si="11"/>
        <v>13800000</v>
      </c>
      <c r="S38" s="210">
        <f t="shared" si="11"/>
        <v>13800000</v>
      </c>
      <c r="T38" s="210">
        <f t="shared" si="11"/>
        <v>0</v>
      </c>
      <c r="U38" s="203"/>
    </row>
    <row r="39" spans="1:21" s="204" customFormat="1">
      <c r="A39" s="201" t="s">
        <v>1706</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1707</v>
      </c>
      <c r="B40" s="206">
        <f>SUM(C40+D40)</f>
        <v>350000</v>
      </c>
      <c r="C40" s="207">
        <v>350000</v>
      </c>
      <c r="D40" s="207"/>
      <c r="E40" s="207">
        <f t="shared" ref="E40:E41" si="12">+C40-F40-G40</f>
        <v>350000</v>
      </c>
      <c r="F40" s="207"/>
      <c r="G40" s="207"/>
      <c r="H40" s="207"/>
      <c r="I40" s="207"/>
      <c r="J40" s="207"/>
      <c r="K40" s="207"/>
      <c r="L40" s="207"/>
      <c r="M40" s="207"/>
      <c r="N40" s="207"/>
      <c r="O40" s="207"/>
      <c r="P40" s="207"/>
      <c r="Q40" s="207"/>
      <c r="R40" s="207">
        <f>SUM(E40:Q40)</f>
        <v>350000</v>
      </c>
      <c r="S40" s="207">
        <f t="shared" ref="S40:S41" si="13">+R40</f>
        <v>350000</v>
      </c>
      <c r="T40" s="207"/>
      <c r="U40" s="203"/>
    </row>
    <row r="41" spans="1:21" s="204" customFormat="1">
      <c r="A41" s="205" t="s">
        <v>1708</v>
      </c>
      <c r="B41" s="206">
        <f>SUM(C41+D41)</f>
        <v>100000</v>
      </c>
      <c r="C41" s="207">
        <v>100000</v>
      </c>
      <c r="D41" s="207"/>
      <c r="E41" s="207">
        <f t="shared" si="12"/>
        <v>100000</v>
      </c>
      <c r="F41" s="207"/>
      <c r="G41" s="207"/>
      <c r="H41" s="207"/>
      <c r="I41" s="207"/>
      <c r="J41" s="207"/>
      <c r="K41" s="207"/>
      <c r="L41" s="207"/>
      <c r="M41" s="207"/>
      <c r="N41" s="207"/>
      <c r="O41" s="207"/>
      <c r="P41" s="207"/>
      <c r="Q41" s="207"/>
      <c r="R41" s="207">
        <f>SUM(E41:Q41)</f>
        <v>100000</v>
      </c>
      <c r="S41" s="207">
        <f t="shared" si="13"/>
        <v>100000</v>
      </c>
      <c r="T41" s="207"/>
      <c r="U41" s="203"/>
    </row>
    <row r="42" spans="1:21" s="204" customFormat="1">
      <c r="A42" s="209" t="s">
        <v>1709</v>
      </c>
      <c r="B42" s="206">
        <f>SUM(C42:D42)</f>
        <v>450000</v>
      </c>
      <c r="C42" s="206">
        <f>SUM(C39:C41)</f>
        <v>450000</v>
      </c>
      <c r="D42" s="206">
        <f>SUM(D39:D41)</f>
        <v>0</v>
      </c>
      <c r="E42" s="206">
        <f t="shared" ref="E42:T42" si="14">SUM(E40:E41)</f>
        <v>450000</v>
      </c>
      <c r="F42" s="206">
        <f t="shared" si="14"/>
        <v>0</v>
      </c>
      <c r="G42" s="206">
        <f t="shared" si="14"/>
        <v>0</v>
      </c>
      <c r="H42" s="206">
        <f t="shared" si="14"/>
        <v>0</v>
      </c>
      <c r="I42" s="206">
        <f t="shared" si="14"/>
        <v>0</v>
      </c>
      <c r="J42" s="206">
        <f t="shared" si="14"/>
        <v>0</v>
      </c>
      <c r="K42" s="206">
        <f t="shared" si="14"/>
        <v>0</v>
      </c>
      <c r="L42" s="206">
        <f t="shared" si="14"/>
        <v>0</v>
      </c>
      <c r="M42" s="206">
        <f t="shared" si="14"/>
        <v>0</v>
      </c>
      <c r="N42" s="206">
        <f t="shared" si="14"/>
        <v>0</v>
      </c>
      <c r="O42" s="206">
        <f t="shared" si="14"/>
        <v>0</v>
      </c>
      <c r="P42" s="206">
        <f t="shared" si="14"/>
        <v>0</v>
      </c>
      <c r="Q42" s="206">
        <f t="shared" si="14"/>
        <v>0</v>
      </c>
      <c r="R42" s="206">
        <f t="shared" si="14"/>
        <v>450000</v>
      </c>
      <c r="S42" s="210">
        <f t="shared" si="14"/>
        <v>450000</v>
      </c>
      <c r="T42" s="210">
        <f t="shared" si="14"/>
        <v>0</v>
      </c>
      <c r="U42" s="203"/>
    </row>
    <row r="43" spans="1:21" s="204" customFormat="1">
      <c r="A43" s="209" t="s">
        <v>1710</v>
      </c>
      <c r="B43" s="206">
        <f>SUM(C43:D43)</f>
        <v>130000</v>
      </c>
      <c r="C43" s="207">
        <v>130000</v>
      </c>
      <c r="D43" s="207"/>
      <c r="E43" s="207">
        <f>+C43-F43-G43</f>
        <v>130000</v>
      </c>
      <c r="F43" s="207">
        <v>0</v>
      </c>
      <c r="G43" s="207"/>
      <c r="H43" s="207"/>
      <c r="I43" s="207"/>
      <c r="J43" s="207"/>
      <c r="K43" s="207"/>
      <c r="L43" s="207"/>
      <c r="M43" s="207"/>
      <c r="N43" s="207"/>
      <c r="O43" s="207"/>
      <c r="P43" s="207"/>
      <c r="Q43" s="207"/>
      <c r="R43" s="207">
        <f>SUM(E43:Q43)</f>
        <v>130000</v>
      </c>
      <c r="S43" s="207">
        <f t="shared" ref="S43" si="15">+R43</f>
        <v>130000</v>
      </c>
      <c r="T43" s="207"/>
      <c r="U43" s="203"/>
    </row>
    <row r="44" spans="1:21" s="204" customFormat="1">
      <c r="A44" s="201" t="s">
        <v>1711</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1712</v>
      </c>
      <c r="B45" s="206">
        <f t="shared" ref="B45:B52" si="16">SUM(C45+D45)</f>
        <v>800000</v>
      </c>
      <c r="C45" s="207">
        <v>800000</v>
      </c>
      <c r="D45" s="207"/>
      <c r="E45" s="207">
        <f t="shared" ref="E45:E52" si="17">+C45-F45-G45</f>
        <v>0</v>
      </c>
      <c r="F45" s="207">
        <v>800000</v>
      </c>
      <c r="G45" s="207"/>
      <c r="H45" s="207"/>
      <c r="I45" s="207"/>
      <c r="J45" s="207"/>
      <c r="K45" s="207"/>
      <c r="L45" s="207"/>
      <c r="M45" s="207"/>
      <c r="N45" s="207"/>
      <c r="O45" s="207"/>
      <c r="P45" s="207"/>
      <c r="Q45" s="207"/>
      <c r="R45" s="207">
        <f t="shared" ref="R45:R51" si="18">SUM(E45:Q45)</f>
        <v>800000</v>
      </c>
      <c r="S45" s="207">
        <f t="shared" ref="S45:S51" si="19">+R45</f>
        <v>800000</v>
      </c>
      <c r="T45" s="207"/>
      <c r="U45" s="203"/>
    </row>
    <row r="46" spans="1:21" s="204" customFormat="1">
      <c r="A46" s="205" t="s">
        <v>1713</v>
      </c>
      <c r="B46" s="206">
        <f t="shared" si="16"/>
        <v>140000</v>
      </c>
      <c r="C46" s="207">
        <v>140000</v>
      </c>
      <c r="D46" s="207"/>
      <c r="E46" s="207">
        <f t="shared" si="17"/>
        <v>0</v>
      </c>
      <c r="F46" s="207">
        <v>140000</v>
      </c>
      <c r="G46" s="207"/>
      <c r="H46" s="207"/>
      <c r="I46" s="207"/>
      <c r="J46" s="207"/>
      <c r="K46" s="207"/>
      <c r="L46" s="207"/>
      <c r="M46" s="207"/>
      <c r="N46" s="207"/>
      <c r="O46" s="207"/>
      <c r="P46" s="207"/>
      <c r="Q46" s="207"/>
      <c r="R46" s="207">
        <f t="shared" si="18"/>
        <v>140000</v>
      </c>
      <c r="S46" s="207">
        <f t="shared" si="19"/>
        <v>140000</v>
      </c>
      <c r="T46" s="207"/>
      <c r="U46" s="203"/>
    </row>
    <row r="47" spans="1:21" s="204" customFormat="1" ht="12" customHeight="1">
      <c r="A47" s="205" t="s">
        <v>1714</v>
      </c>
      <c r="B47" s="206">
        <f t="shared" si="16"/>
        <v>0</v>
      </c>
      <c r="C47" s="207"/>
      <c r="D47" s="207"/>
      <c r="E47" s="207">
        <f t="shared" si="17"/>
        <v>0</v>
      </c>
      <c r="F47" s="207"/>
      <c r="G47" s="207"/>
      <c r="H47" s="207"/>
      <c r="I47" s="207"/>
      <c r="J47" s="207"/>
      <c r="K47" s="207"/>
      <c r="L47" s="207"/>
      <c r="M47" s="207"/>
      <c r="N47" s="207"/>
      <c r="O47" s="207"/>
      <c r="P47" s="207"/>
      <c r="Q47" s="207"/>
      <c r="R47" s="207"/>
      <c r="S47" s="207"/>
      <c r="T47" s="207"/>
      <c r="U47" s="203"/>
    </row>
    <row r="48" spans="1:21" s="204" customFormat="1">
      <c r="A48" s="205" t="s">
        <v>1715</v>
      </c>
      <c r="B48" s="206">
        <f t="shared" si="16"/>
        <v>0</v>
      </c>
      <c r="C48" s="207"/>
      <c r="D48" s="207"/>
      <c r="E48" s="207">
        <f t="shared" si="17"/>
        <v>0</v>
      </c>
      <c r="F48" s="207"/>
      <c r="G48" s="207"/>
      <c r="H48" s="207"/>
      <c r="I48" s="207"/>
      <c r="J48" s="207"/>
      <c r="K48" s="207"/>
      <c r="L48" s="207"/>
      <c r="M48" s="207"/>
      <c r="N48" s="207"/>
      <c r="O48" s="207"/>
      <c r="P48" s="207"/>
      <c r="Q48" s="207"/>
      <c r="R48" s="207"/>
      <c r="S48" s="207"/>
      <c r="T48" s="207"/>
      <c r="U48" s="203"/>
    </row>
    <row r="49" spans="1:21" s="204" customFormat="1">
      <c r="A49" s="205" t="s">
        <v>1716</v>
      </c>
      <c r="B49" s="206">
        <f t="shared" si="16"/>
        <v>44150</v>
      </c>
      <c r="C49" s="207">
        <f>40000+4150</f>
        <v>44150</v>
      </c>
      <c r="D49" s="207"/>
      <c r="E49" s="207">
        <f t="shared" si="17"/>
        <v>22150</v>
      </c>
      <c r="F49" s="207">
        <v>22000</v>
      </c>
      <c r="G49" s="207"/>
      <c r="H49" s="207"/>
      <c r="I49" s="207"/>
      <c r="J49" s="207"/>
      <c r="K49" s="207"/>
      <c r="L49" s="207"/>
      <c r="M49" s="207"/>
      <c r="N49" s="207"/>
      <c r="O49" s="207"/>
      <c r="P49" s="207"/>
      <c r="Q49" s="207"/>
      <c r="R49" s="207">
        <f t="shared" si="18"/>
        <v>44150</v>
      </c>
      <c r="S49" s="207">
        <f t="shared" si="19"/>
        <v>44150</v>
      </c>
      <c r="T49" s="207"/>
      <c r="U49" s="203"/>
    </row>
    <row r="50" spans="1:21" s="204" customFormat="1">
      <c r="A50" s="205" t="s">
        <v>1717</v>
      </c>
      <c r="B50" s="206">
        <f t="shared" si="16"/>
        <v>55000</v>
      </c>
      <c r="C50" s="207">
        <v>55000</v>
      </c>
      <c r="D50" s="207"/>
      <c r="E50" s="207">
        <f t="shared" si="17"/>
        <v>55000</v>
      </c>
      <c r="F50" s="207"/>
      <c r="G50" s="207"/>
      <c r="H50" s="207"/>
      <c r="I50" s="207"/>
      <c r="J50" s="207"/>
      <c r="K50" s="207"/>
      <c r="L50" s="207"/>
      <c r="M50" s="207"/>
      <c r="N50" s="207"/>
      <c r="O50" s="207"/>
      <c r="P50" s="207"/>
      <c r="Q50" s="207"/>
      <c r="R50" s="207">
        <f t="shared" si="18"/>
        <v>55000</v>
      </c>
      <c r="S50" s="207">
        <f t="shared" si="19"/>
        <v>55000</v>
      </c>
      <c r="T50" s="207"/>
      <c r="U50" s="203"/>
    </row>
    <row r="51" spans="1:21" s="204" customFormat="1">
      <c r="A51" s="205" t="s">
        <v>1718</v>
      </c>
      <c r="B51" s="206">
        <f t="shared" si="16"/>
        <v>85000</v>
      </c>
      <c r="C51" s="207">
        <v>85000</v>
      </c>
      <c r="D51" s="207"/>
      <c r="E51" s="207">
        <f t="shared" si="17"/>
        <v>85000</v>
      </c>
      <c r="F51" s="207"/>
      <c r="G51" s="207"/>
      <c r="H51" s="207"/>
      <c r="I51" s="207"/>
      <c r="J51" s="207"/>
      <c r="K51" s="207"/>
      <c r="L51" s="207"/>
      <c r="M51" s="207"/>
      <c r="N51" s="207"/>
      <c r="O51" s="207"/>
      <c r="P51" s="207"/>
      <c r="Q51" s="207"/>
      <c r="R51" s="207">
        <f t="shared" si="18"/>
        <v>85000</v>
      </c>
      <c r="S51" s="207">
        <f t="shared" si="19"/>
        <v>85000</v>
      </c>
      <c r="T51" s="207"/>
      <c r="U51" s="203"/>
    </row>
    <row r="52" spans="1:21" s="204" customFormat="1">
      <c r="A52" s="212" t="s">
        <v>1701</v>
      </c>
      <c r="B52" s="206">
        <f t="shared" si="16"/>
        <v>0</v>
      </c>
      <c r="C52" s="207"/>
      <c r="D52" s="207"/>
      <c r="E52" s="207">
        <f t="shared" si="17"/>
        <v>0</v>
      </c>
      <c r="F52" s="207"/>
      <c r="G52" s="207"/>
      <c r="H52" s="207"/>
      <c r="I52" s="207"/>
      <c r="J52" s="207"/>
      <c r="K52" s="207"/>
      <c r="L52" s="207"/>
      <c r="M52" s="207"/>
      <c r="N52" s="207"/>
      <c r="O52" s="207"/>
      <c r="P52" s="207"/>
      <c r="Q52" s="207"/>
      <c r="R52" s="207"/>
      <c r="S52" s="207"/>
      <c r="T52" s="207"/>
      <c r="U52" s="203"/>
    </row>
    <row r="53" spans="1:21" s="214" customFormat="1">
      <c r="A53" s="209" t="s">
        <v>1719</v>
      </c>
      <c r="B53" s="210">
        <f>SUM(C53:D53)</f>
        <v>1124150</v>
      </c>
      <c r="C53" s="210">
        <f t="shared" ref="C53:T53" si="20">SUM(C45:C52)</f>
        <v>1124150</v>
      </c>
      <c r="D53" s="210">
        <f t="shared" si="20"/>
        <v>0</v>
      </c>
      <c r="E53" s="210">
        <f t="shared" si="20"/>
        <v>162150</v>
      </c>
      <c r="F53" s="210">
        <f t="shared" si="20"/>
        <v>962000</v>
      </c>
      <c r="G53" s="210">
        <f t="shared" si="20"/>
        <v>0</v>
      </c>
      <c r="H53" s="210">
        <f t="shared" si="20"/>
        <v>0</v>
      </c>
      <c r="I53" s="210">
        <f t="shared" si="20"/>
        <v>0</v>
      </c>
      <c r="J53" s="210">
        <f t="shared" si="20"/>
        <v>0</v>
      </c>
      <c r="K53" s="210">
        <f t="shared" si="20"/>
        <v>0</v>
      </c>
      <c r="L53" s="210">
        <f t="shared" si="20"/>
        <v>0</v>
      </c>
      <c r="M53" s="210">
        <f t="shared" si="20"/>
        <v>0</v>
      </c>
      <c r="N53" s="210">
        <f t="shared" si="20"/>
        <v>0</v>
      </c>
      <c r="O53" s="210">
        <f t="shared" si="20"/>
        <v>0</v>
      </c>
      <c r="P53" s="210">
        <f t="shared" si="20"/>
        <v>0</v>
      </c>
      <c r="Q53" s="210">
        <f t="shared" si="20"/>
        <v>0</v>
      </c>
      <c r="R53" s="206">
        <f t="shared" si="20"/>
        <v>1124150</v>
      </c>
      <c r="S53" s="210">
        <f t="shared" si="20"/>
        <v>1124150</v>
      </c>
      <c r="T53" s="210">
        <f t="shared" si="20"/>
        <v>0</v>
      </c>
      <c r="U53" s="213"/>
    </row>
    <row r="54" spans="1:21" s="204" customFormat="1">
      <c r="A54" s="201" t="s">
        <v>1326</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1720</v>
      </c>
      <c r="B55" s="206">
        <f t="shared" ref="B55:B60" si="21">SUM(C55+D55)</f>
        <v>120600</v>
      </c>
      <c r="C55" s="207">
        <f>120600</f>
        <v>120600</v>
      </c>
      <c r="D55" s="207"/>
      <c r="E55" s="207">
        <f t="shared" ref="E55:E60" si="22">+C55-F55-G55</f>
        <v>0</v>
      </c>
      <c r="F55" s="207">
        <v>0</v>
      </c>
      <c r="G55" s="207">
        <v>120600</v>
      </c>
      <c r="H55" s="207"/>
      <c r="I55" s="207"/>
      <c r="J55" s="207"/>
      <c r="K55" s="207"/>
      <c r="L55" s="207"/>
      <c r="M55" s="207"/>
      <c r="N55" s="207"/>
      <c r="O55" s="207"/>
      <c r="P55" s="207"/>
      <c r="Q55" s="207"/>
      <c r="R55" s="207">
        <f t="shared" ref="R55:R57" si="23">SUM(E55:Q55)</f>
        <v>120600</v>
      </c>
      <c r="S55" s="208"/>
      <c r="T55" s="208"/>
      <c r="U55" s="203"/>
    </row>
    <row r="56" spans="1:21" s="204" customFormat="1" ht="12" customHeight="1">
      <c r="A56" s="205" t="s">
        <v>1714</v>
      </c>
      <c r="B56" s="206">
        <f t="shared" si="21"/>
        <v>0</v>
      </c>
      <c r="C56" s="207"/>
      <c r="D56" s="207"/>
      <c r="E56" s="207">
        <f t="shared" si="22"/>
        <v>0</v>
      </c>
      <c r="F56" s="207"/>
      <c r="G56" s="207"/>
      <c r="H56" s="207"/>
      <c r="I56" s="207"/>
      <c r="J56" s="207"/>
      <c r="K56" s="207"/>
      <c r="L56" s="207"/>
      <c r="M56" s="207"/>
      <c r="N56" s="207"/>
      <c r="O56" s="207"/>
      <c r="P56" s="207"/>
      <c r="Q56" s="207"/>
      <c r="R56" s="207"/>
      <c r="S56" s="208"/>
      <c r="T56" s="208"/>
      <c r="U56" s="203"/>
    </row>
    <row r="57" spans="1:21" s="204" customFormat="1">
      <c r="A57" s="205" t="s">
        <v>1716</v>
      </c>
      <c r="B57" s="206">
        <f t="shared" si="21"/>
        <v>10000</v>
      </c>
      <c r="C57" s="207">
        <v>10000</v>
      </c>
      <c r="D57" s="207"/>
      <c r="E57" s="207">
        <f t="shared" si="22"/>
        <v>0</v>
      </c>
      <c r="F57" s="207"/>
      <c r="G57" s="207">
        <v>10000</v>
      </c>
      <c r="H57" s="207"/>
      <c r="I57" s="207"/>
      <c r="J57" s="207"/>
      <c r="K57" s="207"/>
      <c r="L57" s="207"/>
      <c r="M57" s="207"/>
      <c r="N57" s="207"/>
      <c r="O57" s="207"/>
      <c r="P57" s="207"/>
      <c r="Q57" s="207"/>
      <c r="R57" s="207">
        <f t="shared" si="23"/>
        <v>10000</v>
      </c>
      <c r="S57" s="208"/>
      <c r="T57" s="208"/>
      <c r="U57" s="203"/>
    </row>
    <row r="58" spans="1:21" s="204" customFormat="1">
      <c r="A58" s="205" t="s">
        <v>1717</v>
      </c>
      <c r="B58" s="206">
        <f t="shared" si="21"/>
        <v>0</v>
      </c>
      <c r="C58" s="207"/>
      <c r="D58" s="207"/>
      <c r="E58" s="207">
        <f t="shared" si="22"/>
        <v>0</v>
      </c>
      <c r="F58" s="207"/>
      <c r="G58" s="207"/>
      <c r="H58" s="207"/>
      <c r="I58" s="207"/>
      <c r="J58" s="207"/>
      <c r="K58" s="207"/>
      <c r="L58" s="207"/>
      <c r="M58" s="207"/>
      <c r="N58" s="207"/>
      <c r="O58" s="207"/>
      <c r="P58" s="207"/>
      <c r="Q58" s="207"/>
      <c r="R58" s="207"/>
      <c r="S58" s="208"/>
      <c r="T58" s="208"/>
      <c r="U58" s="203"/>
    </row>
    <row r="59" spans="1:21" s="204" customFormat="1">
      <c r="A59" s="205" t="s">
        <v>1718</v>
      </c>
      <c r="B59" s="206">
        <f t="shared" si="21"/>
        <v>0</v>
      </c>
      <c r="C59" s="207"/>
      <c r="D59" s="207"/>
      <c r="E59" s="207">
        <f t="shared" si="22"/>
        <v>0</v>
      </c>
      <c r="F59" s="207"/>
      <c r="G59" s="207"/>
      <c r="H59" s="207"/>
      <c r="I59" s="207"/>
      <c r="J59" s="207"/>
      <c r="K59" s="207"/>
      <c r="L59" s="207"/>
      <c r="M59" s="207"/>
      <c r="N59" s="207"/>
      <c r="O59" s="207"/>
      <c r="P59" s="207"/>
      <c r="Q59" s="207"/>
      <c r="R59" s="207"/>
      <c r="S59" s="208"/>
      <c r="T59" s="208"/>
      <c r="U59" s="203"/>
    </row>
    <row r="60" spans="1:21" s="204" customFormat="1">
      <c r="A60" s="212" t="s">
        <v>1701</v>
      </c>
      <c r="B60" s="206">
        <f t="shared" si="21"/>
        <v>0</v>
      </c>
      <c r="C60" s="207"/>
      <c r="D60" s="207"/>
      <c r="E60" s="207">
        <f t="shared" si="22"/>
        <v>0</v>
      </c>
      <c r="F60" s="207"/>
      <c r="G60" s="207"/>
      <c r="H60" s="207"/>
      <c r="I60" s="207"/>
      <c r="J60" s="207"/>
      <c r="K60" s="207"/>
      <c r="L60" s="207"/>
      <c r="M60" s="207"/>
      <c r="N60" s="207"/>
      <c r="O60" s="207"/>
      <c r="P60" s="207"/>
      <c r="Q60" s="207"/>
      <c r="R60" s="207"/>
      <c r="S60" s="208"/>
      <c r="T60" s="208"/>
      <c r="U60" s="203"/>
    </row>
    <row r="61" spans="1:21" s="204" customFormat="1" ht="14.1" customHeight="1">
      <c r="A61" s="209" t="s">
        <v>1721</v>
      </c>
      <c r="B61" s="206">
        <f>SUM(C61:D61)</f>
        <v>130600</v>
      </c>
      <c r="C61" s="206">
        <f t="shared" ref="C61:R61" si="24">SUM(C55:C60)</f>
        <v>130600</v>
      </c>
      <c r="D61" s="206">
        <f t="shared" si="24"/>
        <v>0</v>
      </c>
      <c r="E61" s="206">
        <f t="shared" si="24"/>
        <v>0</v>
      </c>
      <c r="F61" s="206">
        <f t="shared" si="24"/>
        <v>0</v>
      </c>
      <c r="G61" s="206">
        <f t="shared" si="24"/>
        <v>130600</v>
      </c>
      <c r="H61" s="206">
        <f t="shared" si="24"/>
        <v>0</v>
      </c>
      <c r="I61" s="206">
        <f t="shared" si="24"/>
        <v>0</v>
      </c>
      <c r="J61" s="206">
        <f t="shared" si="24"/>
        <v>0</v>
      </c>
      <c r="K61" s="206">
        <f t="shared" si="24"/>
        <v>0</v>
      </c>
      <c r="L61" s="206">
        <f t="shared" si="24"/>
        <v>0</v>
      </c>
      <c r="M61" s="206">
        <f t="shared" si="24"/>
        <v>0</v>
      </c>
      <c r="N61" s="206">
        <f t="shared" si="24"/>
        <v>0</v>
      </c>
      <c r="O61" s="206">
        <f t="shared" si="24"/>
        <v>0</v>
      </c>
      <c r="P61" s="206">
        <f t="shared" si="24"/>
        <v>0</v>
      </c>
      <c r="Q61" s="206">
        <f t="shared" si="24"/>
        <v>0</v>
      </c>
      <c r="R61" s="206">
        <f t="shared" si="24"/>
        <v>130600</v>
      </c>
      <c r="S61" s="208"/>
      <c r="T61" s="208"/>
      <c r="U61" s="203"/>
    </row>
    <row r="62" spans="1:21" s="204" customFormat="1">
      <c r="A62" s="215" t="s">
        <v>1722</v>
      </c>
      <c r="B62" s="206">
        <f>SUM(C62:D62)</f>
        <v>18304800</v>
      </c>
      <c r="C62" s="206">
        <f t="shared" ref="C62:R62" si="25">SUM(C8+C11+C13+C14+C15+C26+C27+C38+C42+C43+C53+C61)</f>
        <v>18304800</v>
      </c>
      <c r="D62" s="206">
        <f t="shared" si="25"/>
        <v>0</v>
      </c>
      <c r="E62" s="206">
        <f t="shared" si="25"/>
        <v>13334450</v>
      </c>
      <c r="F62" s="206">
        <f t="shared" si="25"/>
        <v>2232000</v>
      </c>
      <c r="G62" s="206">
        <f t="shared" si="25"/>
        <v>2738350</v>
      </c>
      <c r="H62" s="206">
        <f t="shared" si="25"/>
        <v>0</v>
      </c>
      <c r="I62" s="206">
        <f t="shared" si="25"/>
        <v>0</v>
      </c>
      <c r="J62" s="206">
        <f t="shared" si="25"/>
        <v>0</v>
      </c>
      <c r="K62" s="206">
        <f t="shared" si="25"/>
        <v>0</v>
      </c>
      <c r="L62" s="206">
        <f t="shared" si="25"/>
        <v>0</v>
      </c>
      <c r="M62" s="206">
        <f t="shared" si="25"/>
        <v>0</v>
      </c>
      <c r="N62" s="206">
        <f t="shared" si="25"/>
        <v>0</v>
      </c>
      <c r="O62" s="206">
        <f t="shared" si="25"/>
        <v>0</v>
      </c>
      <c r="P62" s="206">
        <f t="shared" si="25"/>
        <v>0</v>
      </c>
      <c r="Q62" s="206">
        <f t="shared" si="25"/>
        <v>0</v>
      </c>
      <c r="R62" s="206">
        <f t="shared" si="25"/>
        <v>18304800</v>
      </c>
      <c r="S62" s="206">
        <f>SUM(S10+S13+S14+S15+S26+S27+S38+S42+S43+S53)</f>
        <v>15754150</v>
      </c>
      <c r="T62" s="206">
        <f>SUM(T11+T13+T14+T15+T26+T27+T38+T42+T43+T53)</f>
        <v>0</v>
      </c>
      <c r="U62" s="203"/>
    </row>
    <row r="63" spans="1:21" s="204" customFormat="1" ht="22.8">
      <c r="A63" s="201" t="s">
        <v>1723</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1724</v>
      </c>
      <c r="B64" s="206">
        <f>SUM(C64+D64)</f>
        <v>30000</v>
      </c>
      <c r="C64" s="207">
        <v>30000</v>
      </c>
      <c r="D64" s="207"/>
      <c r="E64" s="207">
        <f t="shared" ref="E64:E68" si="26">+C64-F64-G64</f>
        <v>30000</v>
      </c>
      <c r="F64" s="207"/>
      <c r="G64" s="207"/>
      <c r="H64" s="207"/>
      <c r="I64" s="207"/>
      <c r="J64" s="207"/>
      <c r="K64" s="207"/>
      <c r="L64" s="207"/>
      <c r="M64" s="207"/>
      <c r="N64" s="207"/>
      <c r="O64" s="207"/>
      <c r="P64" s="207"/>
      <c r="Q64" s="207"/>
      <c r="R64" s="207">
        <f>SUM(E64:Q64)</f>
        <v>30000</v>
      </c>
      <c r="S64" s="207">
        <f t="shared" ref="S64:S67" si="27">+R64</f>
        <v>30000</v>
      </c>
      <c r="T64" s="207"/>
      <c r="U64" s="203"/>
    </row>
    <row r="65" spans="1:21" s="204" customFormat="1" ht="22.8">
      <c r="A65" s="205" t="s">
        <v>1725</v>
      </c>
      <c r="B65" s="206">
        <f>SUM(C65+D65)</f>
        <v>3000</v>
      </c>
      <c r="C65" s="207">
        <v>3000</v>
      </c>
      <c r="D65" s="207"/>
      <c r="E65" s="207">
        <f t="shared" si="26"/>
        <v>3000</v>
      </c>
      <c r="F65" s="207"/>
      <c r="G65" s="207"/>
      <c r="H65" s="207"/>
      <c r="I65" s="207"/>
      <c r="J65" s="207"/>
      <c r="K65" s="207"/>
      <c r="L65" s="207"/>
      <c r="M65" s="207"/>
      <c r="N65" s="207"/>
      <c r="O65" s="207"/>
      <c r="P65" s="207"/>
      <c r="Q65" s="207"/>
      <c r="R65" s="207">
        <f>SUM(E65:Q65)</f>
        <v>3000</v>
      </c>
      <c r="S65" s="207">
        <v>0</v>
      </c>
      <c r="T65" s="207"/>
      <c r="U65" s="203"/>
    </row>
    <row r="66" spans="1:21" s="204" customFormat="1" ht="22.8">
      <c r="A66" s="205" t="s">
        <v>1726</v>
      </c>
      <c r="B66" s="206">
        <f>SUM(C66+D66)</f>
        <v>45000</v>
      </c>
      <c r="C66" s="207">
        <v>45000</v>
      </c>
      <c r="D66" s="207"/>
      <c r="E66" s="207">
        <f t="shared" si="26"/>
        <v>45000</v>
      </c>
      <c r="F66" s="207"/>
      <c r="G66" s="207"/>
      <c r="H66" s="207"/>
      <c r="I66" s="207"/>
      <c r="J66" s="207"/>
      <c r="K66" s="207"/>
      <c r="L66" s="207"/>
      <c r="M66" s="207"/>
      <c r="N66" s="207"/>
      <c r="O66" s="207"/>
      <c r="P66" s="207"/>
      <c r="Q66" s="207"/>
      <c r="R66" s="207">
        <f>SUM(E66:Q66)</f>
        <v>45000</v>
      </c>
      <c r="S66" s="207">
        <f t="shared" si="27"/>
        <v>45000</v>
      </c>
      <c r="T66" s="207"/>
      <c r="U66" s="203"/>
    </row>
    <row r="67" spans="1:21" s="204" customFormat="1">
      <c r="A67" s="205" t="s">
        <v>1727</v>
      </c>
      <c r="B67" s="206">
        <f>SUM(C67+D67)</f>
        <v>0</v>
      </c>
      <c r="C67" s="207"/>
      <c r="D67" s="207"/>
      <c r="E67" s="207">
        <f t="shared" si="26"/>
        <v>0</v>
      </c>
      <c r="F67" s="207"/>
      <c r="G67" s="207"/>
      <c r="H67" s="207"/>
      <c r="I67" s="207"/>
      <c r="J67" s="207"/>
      <c r="K67" s="207"/>
      <c r="L67" s="207"/>
      <c r="M67" s="207"/>
      <c r="N67" s="207"/>
      <c r="O67" s="207"/>
      <c r="P67" s="207"/>
      <c r="Q67" s="207"/>
      <c r="R67" s="207">
        <f>SUM(E67:Q67)</f>
        <v>0</v>
      </c>
      <c r="S67" s="207">
        <f t="shared" si="27"/>
        <v>0</v>
      </c>
      <c r="T67" s="207"/>
      <c r="U67" s="203"/>
    </row>
    <row r="68" spans="1:21" s="204" customFormat="1">
      <c r="A68" s="212" t="s">
        <v>2534</v>
      </c>
      <c r="B68" s="206">
        <f>SUM(C68+D68)</f>
        <v>90000</v>
      </c>
      <c r="C68" s="207">
        <v>90000</v>
      </c>
      <c r="D68" s="207"/>
      <c r="E68" s="207">
        <f t="shared" si="26"/>
        <v>90000</v>
      </c>
      <c r="F68" s="207"/>
      <c r="G68" s="207"/>
      <c r="H68" s="207"/>
      <c r="I68" s="207"/>
      <c r="J68" s="207"/>
      <c r="K68" s="207"/>
      <c r="L68" s="207"/>
      <c r="M68" s="207"/>
      <c r="N68" s="207"/>
      <c r="O68" s="207"/>
      <c r="P68" s="207"/>
      <c r="Q68" s="207"/>
      <c r="R68" s="207">
        <f>SUM(E68:Q68)</f>
        <v>90000</v>
      </c>
      <c r="S68" s="207">
        <f>+R68</f>
        <v>90000</v>
      </c>
      <c r="T68" s="207"/>
      <c r="U68" s="203"/>
    </row>
    <row r="69" spans="1:21" s="204" customFormat="1">
      <c r="A69" s="209" t="s">
        <v>1728</v>
      </c>
      <c r="B69" s="206">
        <f>SUM(C69:D69)</f>
        <v>168000</v>
      </c>
      <c r="C69" s="206">
        <f>SUM(C63:C68)</f>
        <v>168000</v>
      </c>
      <c r="D69" s="206">
        <f>SUM(D63:D68)</f>
        <v>0</v>
      </c>
      <c r="E69" s="206">
        <f t="shared" ref="E69:T69" si="28">SUM(E64:E68)</f>
        <v>168000</v>
      </c>
      <c r="F69" s="206">
        <f t="shared" si="28"/>
        <v>0</v>
      </c>
      <c r="G69" s="206">
        <f t="shared" si="28"/>
        <v>0</v>
      </c>
      <c r="H69" s="206">
        <f t="shared" si="28"/>
        <v>0</v>
      </c>
      <c r="I69" s="206">
        <f t="shared" si="28"/>
        <v>0</v>
      </c>
      <c r="J69" s="206">
        <f t="shared" si="28"/>
        <v>0</v>
      </c>
      <c r="K69" s="206">
        <f t="shared" si="28"/>
        <v>0</v>
      </c>
      <c r="L69" s="206">
        <f t="shared" si="28"/>
        <v>0</v>
      </c>
      <c r="M69" s="206">
        <f t="shared" si="28"/>
        <v>0</v>
      </c>
      <c r="N69" s="206">
        <f t="shared" si="28"/>
        <v>0</v>
      </c>
      <c r="O69" s="206">
        <f t="shared" si="28"/>
        <v>0</v>
      </c>
      <c r="P69" s="206">
        <f t="shared" si="28"/>
        <v>0</v>
      </c>
      <c r="Q69" s="206">
        <f t="shared" si="28"/>
        <v>0</v>
      </c>
      <c r="R69" s="206">
        <f t="shared" si="28"/>
        <v>168000</v>
      </c>
      <c r="S69" s="210">
        <f t="shared" si="28"/>
        <v>165000</v>
      </c>
      <c r="T69" s="210">
        <f t="shared" si="28"/>
        <v>0</v>
      </c>
      <c r="U69" s="203"/>
    </row>
    <row r="70" spans="1:21" s="204" customFormat="1">
      <c r="A70" s="201" t="s">
        <v>1729</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1730</v>
      </c>
      <c r="B71" s="206">
        <f>SUM(C71+D71)</f>
        <v>0</v>
      </c>
      <c r="C71" s="207"/>
      <c r="D71" s="207"/>
      <c r="E71" s="207">
        <f t="shared" ref="E71:E75" si="29">+C71-F71-G71</f>
        <v>0</v>
      </c>
      <c r="F71" s="207"/>
      <c r="G71" s="207"/>
      <c r="H71" s="207"/>
      <c r="I71" s="207"/>
      <c r="J71" s="207"/>
      <c r="K71" s="207"/>
      <c r="L71" s="207"/>
      <c r="M71" s="207"/>
      <c r="N71" s="207"/>
      <c r="O71" s="207"/>
      <c r="P71" s="207"/>
      <c r="Q71" s="207"/>
      <c r="R71" s="207">
        <f>SUM(E71:Q71)</f>
        <v>0</v>
      </c>
      <c r="S71" s="208"/>
      <c r="T71" s="208"/>
      <c r="U71" s="203"/>
    </row>
    <row r="72" spans="1:21" s="204" customFormat="1">
      <c r="A72" s="205" t="s">
        <v>1731</v>
      </c>
      <c r="B72" s="206">
        <f>SUM(C72+D72)</f>
        <v>0</v>
      </c>
      <c r="C72" s="207"/>
      <c r="D72" s="207"/>
      <c r="E72" s="207">
        <f t="shared" si="29"/>
        <v>0</v>
      </c>
      <c r="F72" s="207"/>
      <c r="G72" s="207"/>
      <c r="H72" s="207"/>
      <c r="I72" s="207"/>
      <c r="J72" s="207"/>
      <c r="K72" s="207"/>
      <c r="L72" s="207"/>
      <c r="M72" s="207"/>
      <c r="N72" s="207"/>
      <c r="O72" s="207"/>
      <c r="P72" s="207"/>
      <c r="Q72" s="207"/>
      <c r="R72" s="207">
        <f>SUM(E72:Q72)</f>
        <v>0</v>
      </c>
      <c r="S72" s="208"/>
      <c r="T72" s="208"/>
      <c r="U72" s="203"/>
    </row>
    <row r="73" spans="1:21" s="204" customFormat="1">
      <c r="A73" s="383" t="s">
        <v>1732</v>
      </c>
      <c r="B73" s="206">
        <f>SUM(C73+D73)</f>
        <v>0</v>
      </c>
      <c r="C73" s="207"/>
      <c r="D73" s="207"/>
      <c r="E73" s="207">
        <f t="shared" si="29"/>
        <v>0</v>
      </c>
      <c r="F73" s="207"/>
      <c r="G73" s="207"/>
      <c r="H73" s="207"/>
      <c r="I73" s="207"/>
      <c r="J73" s="207"/>
      <c r="K73" s="207"/>
      <c r="L73" s="207"/>
      <c r="M73" s="207"/>
      <c r="N73" s="207"/>
      <c r="O73" s="207"/>
      <c r="P73" s="207"/>
      <c r="Q73" s="207"/>
      <c r="R73" s="207">
        <f>SUM(E73:Q73)</f>
        <v>0</v>
      </c>
      <c r="S73" s="208"/>
      <c r="T73" s="208"/>
      <c r="U73" s="203"/>
    </row>
    <row r="74" spans="1:21" s="204" customFormat="1">
      <c r="A74" s="205" t="s">
        <v>1733</v>
      </c>
      <c r="B74" s="206">
        <f>SUM(C74+D74)</f>
        <v>86300</v>
      </c>
      <c r="C74" s="207">
        <v>86300</v>
      </c>
      <c r="D74" s="207"/>
      <c r="E74" s="207">
        <f t="shared" si="29"/>
        <v>0</v>
      </c>
      <c r="F74" s="207"/>
      <c r="G74" s="207">
        <v>86300</v>
      </c>
      <c r="H74" s="207"/>
      <c r="I74" s="207"/>
      <c r="J74" s="207"/>
      <c r="K74" s="207"/>
      <c r="L74" s="207"/>
      <c r="M74" s="207"/>
      <c r="N74" s="207"/>
      <c r="O74" s="207"/>
      <c r="P74" s="207"/>
      <c r="Q74" s="207"/>
      <c r="R74" s="207">
        <f>SUM(E74:Q74)</f>
        <v>86300</v>
      </c>
      <c r="S74" s="208"/>
      <c r="T74" s="208"/>
      <c r="U74" s="203"/>
    </row>
    <row r="75" spans="1:21" s="204" customFormat="1">
      <c r="A75" s="212" t="s">
        <v>228</v>
      </c>
      <c r="B75" s="206">
        <f>SUM(C75+D75)</f>
        <v>0</v>
      </c>
      <c r="C75" s="207">
        <v>0</v>
      </c>
      <c r="D75" s="207"/>
      <c r="E75" s="207">
        <f t="shared" si="29"/>
        <v>0</v>
      </c>
      <c r="F75" s="207"/>
      <c r="G75" s="207"/>
      <c r="H75" s="207"/>
      <c r="I75" s="207"/>
      <c r="J75" s="207"/>
      <c r="K75" s="207"/>
      <c r="L75" s="207"/>
      <c r="M75" s="207"/>
      <c r="N75" s="207"/>
      <c r="O75" s="207"/>
      <c r="P75" s="207"/>
      <c r="Q75" s="207"/>
      <c r="R75" s="207">
        <f>SUM(E75:Q75)</f>
        <v>0</v>
      </c>
      <c r="S75" s="208"/>
      <c r="T75" s="208"/>
      <c r="U75" s="203"/>
    </row>
    <row r="76" spans="1:21" s="204" customFormat="1">
      <c r="A76" s="209" t="s">
        <v>1734</v>
      </c>
      <c r="B76" s="206">
        <f>SUM(C76:D76)</f>
        <v>86300</v>
      </c>
      <c r="C76" s="206">
        <f t="shared" ref="C76:Q76" si="30">SUM(C71:C75)</f>
        <v>86300</v>
      </c>
      <c r="D76" s="206">
        <f t="shared" si="30"/>
        <v>0</v>
      </c>
      <c r="E76" s="206">
        <f>SUM(E71:E75)</f>
        <v>0</v>
      </c>
      <c r="F76" s="206">
        <f>SUM(F71:F75)</f>
        <v>0</v>
      </c>
      <c r="G76" s="206">
        <f>SUM(G71:G75)</f>
        <v>86300</v>
      </c>
      <c r="H76" s="206">
        <f t="shared" si="30"/>
        <v>0</v>
      </c>
      <c r="I76" s="206">
        <f t="shared" si="30"/>
        <v>0</v>
      </c>
      <c r="J76" s="206">
        <f t="shared" si="30"/>
        <v>0</v>
      </c>
      <c r="K76" s="206">
        <f t="shared" si="30"/>
        <v>0</v>
      </c>
      <c r="L76" s="206">
        <f t="shared" si="30"/>
        <v>0</v>
      </c>
      <c r="M76" s="206">
        <f t="shared" si="30"/>
        <v>0</v>
      </c>
      <c r="N76" s="206">
        <f t="shared" si="30"/>
        <v>0</v>
      </c>
      <c r="O76" s="206">
        <f t="shared" si="30"/>
        <v>0</v>
      </c>
      <c r="P76" s="206">
        <f t="shared" si="30"/>
        <v>0</v>
      </c>
      <c r="Q76" s="206">
        <f t="shared" si="30"/>
        <v>0</v>
      </c>
      <c r="R76" s="206">
        <f>SUM(R71:R75)</f>
        <v>86300</v>
      </c>
      <c r="S76" s="208"/>
      <c r="T76" s="208"/>
      <c r="U76" s="203"/>
    </row>
    <row r="77" spans="1:21" s="204" customFormat="1" ht="11.85" customHeight="1">
      <c r="A77" s="201" t="s">
        <v>1735</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1736</v>
      </c>
      <c r="B78" s="206">
        <f>SUM(C78+D78)</f>
        <v>694000</v>
      </c>
      <c r="C78" s="207">
        <v>694000</v>
      </c>
      <c r="D78" s="207"/>
      <c r="E78" s="207">
        <f t="shared" ref="E78:E79" si="31">+C78-F78-G78</f>
        <v>0</v>
      </c>
      <c r="F78" s="207">
        <v>694000</v>
      </c>
      <c r="G78" s="207"/>
      <c r="H78" s="207"/>
      <c r="I78" s="207"/>
      <c r="J78" s="207"/>
      <c r="K78" s="207"/>
      <c r="L78" s="207"/>
      <c r="M78" s="207"/>
      <c r="N78" s="207"/>
      <c r="O78" s="207"/>
      <c r="P78" s="207"/>
      <c r="Q78" s="207"/>
      <c r="R78" s="207">
        <f>SUM(E78:Q78)</f>
        <v>694000</v>
      </c>
      <c r="S78" s="207">
        <f t="shared" ref="S78:S79" si="32">+R78</f>
        <v>694000</v>
      </c>
      <c r="T78" s="207"/>
      <c r="U78" s="203"/>
    </row>
    <row r="79" spans="1:21" s="204" customFormat="1">
      <c r="A79" s="205" t="s">
        <v>1737</v>
      </c>
      <c r="B79" s="206">
        <f>SUM(C79+D79)</f>
        <v>288200</v>
      </c>
      <c r="C79" s="207">
        <f>211200+55000+22000</f>
        <v>288200</v>
      </c>
      <c r="D79" s="207"/>
      <c r="E79" s="207">
        <f t="shared" si="31"/>
        <v>92850</v>
      </c>
      <c r="F79" s="207">
        <v>92000</v>
      </c>
      <c r="G79" s="207">
        <f>109250-600-5300</f>
        <v>103350</v>
      </c>
      <c r="H79" s="207"/>
      <c r="I79" s="207"/>
      <c r="J79" s="207"/>
      <c r="K79" s="207"/>
      <c r="L79" s="207"/>
      <c r="M79" s="207"/>
      <c r="N79" s="207"/>
      <c r="O79" s="207"/>
      <c r="P79" s="207"/>
      <c r="Q79" s="207"/>
      <c r="R79" s="207">
        <f>SUM(E79:Q79)</f>
        <v>288200</v>
      </c>
      <c r="S79" s="207">
        <f t="shared" si="32"/>
        <v>288200</v>
      </c>
      <c r="T79" s="207"/>
      <c r="U79" s="203"/>
    </row>
    <row r="80" spans="1:21" s="204" customFormat="1">
      <c r="A80" s="209" t="s">
        <v>1738</v>
      </c>
      <c r="B80" s="206">
        <f>SUM(C80:D80)</f>
        <v>982200</v>
      </c>
      <c r="C80" s="580">
        <f>SUM(C78:C79)</f>
        <v>982200</v>
      </c>
      <c r="D80" s="580">
        <f t="shared" ref="D80:R80" si="33">SUM(D78:D79)</f>
        <v>0</v>
      </c>
      <c r="E80" s="580">
        <f t="shared" si="33"/>
        <v>92850</v>
      </c>
      <c r="F80" s="580">
        <f t="shared" si="33"/>
        <v>786000</v>
      </c>
      <c r="G80" s="580">
        <f t="shared" si="33"/>
        <v>103350</v>
      </c>
      <c r="H80" s="580">
        <f t="shared" si="33"/>
        <v>0</v>
      </c>
      <c r="I80" s="580">
        <f t="shared" si="33"/>
        <v>0</v>
      </c>
      <c r="J80" s="580">
        <f t="shared" si="33"/>
        <v>0</v>
      </c>
      <c r="K80" s="580">
        <f t="shared" si="33"/>
        <v>0</v>
      </c>
      <c r="L80" s="580">
        <f t="shared" si="33"/>
        <v>0</v>
      </c>
      <c r="M80" s="580">
        <f t="shared" si="33"/>
        <v>0</v>
      </c>
      <c r="N80" s="580">
        <f t="shared" si="33"/>
        <v>0</v>
      </c>
      <c r="O80" s="580">
        <f t="shared" si="33"/>
        <v>0</v>
      </c>
      <c r="P80" s="580">
        <f t="shared" si="33"/>
        <v>0</v>
      </c>
      <c r="Q80" s="580">
        <f t="shared" si="33"/>
        <v>0</v>
      </c>
      <c r="R80" s="580">
        <f t="shared" si="33"/>
        <v>982200</v>
      </c>
      <c r="S80" s="580">
        <f>SUM(S78:S79)</f>
        <v>982200</v>
      </c>
      <c r="T80" s="580">
        <f>SUM(T78:T79)</f>
        <v>0</v>
      </c>
      <c r="U80" s="203"/>
    </row>
    <row r="81" spans="1:21" s="204" customFormat="1">
      <c r="A81" s="201" t="s">
        <v>1739</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1740</v>
      </c>
      <c r="B82" s="206">
        <f>SUM(C82+D82)</f>
        <v>20000</v>
      </c>
      <c r="C82" s="207">
        <v>20000</v>
      </c>
      <c r="D82" s="207"/>
      <c r="E82" s="207">
        <f t="shared" ref="E82:E94" si="34">+C82-F82-G82</f>
        <v>0</v>
      </c>
      <c r="F82" s="207"/>
      <c r="G82" s="207">
        <v>20000</v>
      </c>
      <c r="H82" s="207"/>
      <c r="I82" s="207"/>
      <c r="J82" s="207"/>
      <c r="K82" s="207"/>
      <c r="L82" s="207"/>
      <c r="M82" s="207"/>
      <c r="N82" s="207"/>
      <c r="O82" s="207"/>
      <c r="P82" s="207"/>
      <c r="Q82" s="207"/>
      <c r="R82" s="207">
        <f>SUM(E82:Q82)</f>
        <v>20000</v>
      </c>
      <c r="S82" s="208"/>
      <c r="T82" s="208"/>
      <c r="U82" s="203"/>
    </row>
    <row r="83" spans="1:21" s="204" customFormat="1">
      <c r="A83" s="205" t="s">
        <v>1741</v>
      </c>
      <c r="B83" s="206">
        <f t="shared" ref="B83:B93" si="35">SUM(C83+D83)</f>
        <v>20000</v>
      </c>
      <c r="C83" s="207">
        <v>20000</v>
      </c>
      <c r="D83" s="207"/>
      <c r="E83" s="207">
        <f t="shared" si="34"/>
        <v>20000</v>
      </c>
      <c r="F83" s="207"/>
      <c r="G83" s="207"/>
      <c r="H83" s="207"/>
      <c r="I83" s="207"/>
      <c r="J83" s="207"/>
      <c r="K83" s="207"/>
      <c r="L83" s="207"/>
      <c r="M83" s="207"/>
      <c r="N83" s="207"/>
      <c r="O83" s="207"/>
      <c r="P83" s="207"/>
      <c r="Q83" s="207"/>
      <c r="R83" s="207">
        <f t="shared" ref="R83:R94" si="36">SUM(E83:Q83)</f>
        <v>20000</v>
      </c>
      <c r="S83" s="207">
        <f t="shared" ref="S83:S93" si="37">+R83</f>
        <v>20000</v>
      </c>
      <c r="T83" s="207"/>
      <c r="U83" s="203"/>
    </row>
    <row r="84" spans="1:21" s="204" customFormat="1">
      <c r="A84" s="205" t="s">
        <v>1742</v>
      </c>
      <c r="B84" s="206">
        <f t="shared" si="35"/>
        <v>200000</v>
      </c>
      <c r="C84" s="207">
        <v>200000</v>
      </c>
      <c r="D84" s="207"/>
      <c r="E84" s="207">
        <f t="shared" si="34"/>
        <v>200000</v>
      </c>
      <c r="F84" s="207"/>
      <c r="G84" s="207"/>
      <c r="H84" s="207"/>
      <c r="I84" s="207"/>
      <c r="J84" s="207"/>
      <c r="K84" s="207"/>
      <c r="L84" s="207"/>
      <c r="M84" s="207"/>
      <c r="N84" s="207"/>
      <c r="O84" s="207"/>
      <c r="P84" s="207"/>
      <c r="Q84" s="207"/>
      <c r="R84" s="207">
        <f t="shared" si="36"/>
        <v>200000</v>
      </c>
      <c r="S84" s="207">
        <f t="shared" si="37"/>
        <v>200000</v>
      </c>
      <c r="T84" s="207"/>
      <c r="U84" s="203"/>
    </row>
    <row r="85" spans="1:21" s="204" customFormat="1">
      <c r="A85" s="205" t="s">
        <v>1743</v>
      </c>
      <c r="B85" s="206">
        <f t="shared" si="35"/>
        <v>150000</v>
      </c>
      <c r="C85" s="207">
        <v>150000</v>
      </c>
      <c r="D85" s="207"/>
      <c r="E85" s="207">
        <f t="shared" si="34"/>
        <v>150000</v>
      </c>
      <c r="F85" s="207"/>
      <c r="G85" s="207"/>
      <c r="H85" s="207"/>
      <c r="I85" s="207"/>
      <c r="J85" s="207"/>
      <c r="K85" s="207"/>
      <c r="L85" s="207"/>
      <c r="M85" s="207"/>
      <c r="N85" s="207"/>
      <c r="O85" s="207"/>
      <c r="P85" s="207"/>
      <c r="Q85" s="207"/>
      <c r="R85" s="207">
        <f t="shared" si="36"/>
        <v>150000</v>
      </c>
      <c r="S85" s="207">
        <f t="shared" si="37"/>
        <v>150000</v>
      </c>
      <c r="T85" s="207"/>
      <c r="U85" s="203"/>
    </row>
    <row r="86" spans="1:21" s="204" customFormat="1">
      <c r="A86" s="205" t="s">
        <v>1744</v>
      </c>
      <c r="B86" s="206">
        <f t="shared" si="35"/>
        <v>0</v>
      </c>
      <c r="C86" s="207"/>
      <c r="D86" s="207"/>
      <c r="E86" s="207">
        <f t="shared" si="34"/>
        <v>0</v>
      </c>
      <c r="F86" s="207"/>
      <c r="G86" s="207"/>
      <c r="H86" s="207"/>
      <c r="I86" s="207"/>
      <c r="J86" s="207"/>
      <c r="K86" s="207"/>
      <c r="L86" s="207"/>
      <c r="M86" s="207"/>
      <c r="N86" s="207"/>
      <c r="O86" s="207"/>
      <c r="P86" s="207"/>
      <c r="Q86" s="207"/>
      <c r="R86" s="207">
        <f t="shared" si="36"/>
        <v>0</v>
      </c>
      <c r="S86" s="207">
        <f t="shared" si="37"/>
        <v>0</v>
      </c>
      <c r="T86" s="207"/>
      <c r="U86" s="203"/>
    </row>
    <row r="87" spans="1:21" s="204" customFormat="1">
      <c r="A87" s="205" t="s">
        <v>1745</v>
      </c>
      <c r="B87" s="206">
        <f t="shared" si="35"/>
        <v>20000</v>
      </c>
      <c r="C87" s="207">
        <v>20000</v>
      </c>
      <c r="D87" s="207"/>
      <c r="E87" s="207">
        <f t="shared" si="34"/>
        <v>20000</v>
      </c>
      <c r="F87" s="207"/>
      <c r="G87" s="207"/>
      <c r="H87" s="207"/>
      <c r="I87" s="207"/>
      <c r="J87" s="207"/>
      <c r="K87" s="207"/>
      <c r="L87" s="207"/>
      <c r="M87" s="207"/>
      <c r="N87" s="207"/>
      <c r="O87" s="207"/>
      <c r="P87" s="207"/>
      <c r="Q87" s="207"/>
      <c r="R87" s="207">
        <f t="shared" si="36"/>
        <v>20000</v>
      </c>
      <c r="S87" s="208"/>
      <c r="T87" s="208"/>
      <c r="U87" s="203"/>
    </row>
    <row r="88" spans="1:21" s="204" customFormat="1">
      <c r="A88" s="205" t="s">
        <v>1746</v>
      </c>
      <c r="B88" s="206">
        <f t="shared" si="35"/>
        <v>132000</v>
      </c>
      <c r="C88" s="207">
        <v>132000</v>
      </c>
      <c r="D88" s="207"/>
      <c r="E88" s="207">
        <f t="shared" si="34"/>
        <v>0</v>
      </c>
      <c r="F88" s="207"/>
      <c r="G88" s="207">
        <v>132000</v>
      </c>
      <c r="H88" s="207"/>
      <c r="I88" s="207"/>
      <c r="J88" s="207"/>
      <c r="K88" s="207"/>
      <c r="L88" s="207"/>
      <c r="M88" s="207"/>
      <c r="N88" s="207"/>
      <c r="O88" s="207"/>
      <c r="P88" s="207"/>
      <c r="Q88" s="207"/>
      <c r="R88" s="207">
        <f t="shared" si="36"/>
        <v>132000</v>
      </c>
      <c r="S88" s="207">
        <f t="shared" si="37"/>
        <v>132000</v>
      </c>
      <c r="T88" s="207"/>
      <c r="U88" s="203"/>
    </row>
    <row r="89" spans="1:21" s="204" customFormat="1">
      <c r="A89" s="205" t="s">
        <v>1747</v>
      </c>
      <c r="B89" s="206">
        <f t="shared" si="35"/>
        <v>7500</v>
      </c>
      <c r="C89" s="207">
        <v>7500</v>
      </c>
      <c r="D89" s="207"/>
      <c r="E89" s="207">
        <f t="shared" si="34"/>
        <v>7500</v>
      </c>
      <c r="F89" s="207"/>
      <c r="G89" s="207"/>
      <c r="H89" s="207"/>
      <c r="I89" s="207"/>
      <c r="J89" s="207"/>
      <c r="K89" s="207"/>
      <c r="L89" s="207"/>
      <c r="M89" s="207"/>
      <c r="N89" s="207"/>
      <c r="O89" s="207"/>
      <c r="P89" s="207"/>
      <c r="Q89" s="207"/>
      <c r="R89" s="207">
        <f t="shared" si="36"/>
        <v>7500</v>
      </c>
      <c r="S89" s="207">
        <f t="shared" si="37"/>
        <v>7500</v>
      </c>
      <c r="T89" s="207"/>
      <c r="U89" s="203"/>
    </row>
    <row r="90" spans="1:21" s="204" customFormat="1">
      <c r="A90" s="216" t="s">
        <v>1748</v>
      </c>
      <c r="B90" s="206">
        <f t="shared" si="35"/>
        <v>15000</v>
      </c>
      <c r="C90" s="207">
        <v>15000</v>
      </c>
      <c r="D90" s="207"/>
      <c r="E90" s="207">
        <f t="shared" si="34"/>
        <v>15000</v>
      </c>
      <c r="F90" s="207"/>
      <c r="G90" s="207"/>
      <c r="H90" s="207"/>
      <c r="I90" s="207"/>
      <c r="J90" s="207"/>
      <c r="K90" s="207"/>
      <c r="L90" s="207"/>
      <c r="M90" s="207"/>
      <c r="N90" s="207"/>
      <c r="O90" s="207"/>
      <c r="P90" s="207"/>
      <c r="Q90" s="207"/>
      <c r="R90" s="207">
        <f t="shared" si="36"/>
        <v>15000</v>
      </c>
      <c r="S90" s="207">
        <f t="shared" si="37"/>
        <v>15000</v>
      </c>
      <c r="T90" s="207"/>
      <c r="U90" s="203"/>
    </row>
    <row r="91" spans="1:21" s="204" customFormat="1">
      <c r="A91" s="216" t="s">
        <v>1749</v>
      </c>
      <c r="B91" s="206">
        <f t="shared" si="35"/>
        <v>15000</v>
      </c>
      <c r="C91" s="207">
        <v>15000</v>
      </c>
      <c r="D91" s="207"/>
      <c r="E91" s="207">
        <f t="shared" si="34"/>
        <v>15000</v>
      </c>
      <c r="F91" s="207"/>
      <c r="G91" s="207"/>
      <c r="H91" s="207"/>
      <c r="I91" s="207"/>
      <c r="J91" s="207"/>
      <c r="K91" s="207"/>
      <c r="L91" s="207"/>
      <c r="M91" s="207"/>
      <c r="N91" s="207"/>
      <c r="O91" s="207"/>
      <c r="P91" s="207"/>
      <c r="Q91" s="207"/>
      <c r="R91" s="207">
        <f t="shared" si="36"/>
        <v>15000</v>
      </c>
      <c r="S91" s="207">
        <f t="shared" si="37"/>
        <v>15000</v>
      </c>
      <c r="T91" s="207"/>
      <c r="U91" s="203"/>
    </row>
    <row r="92" spans="1:21" s="204" customFormat="1">
      <c r="A92" s="212" t="s">
        <v>1750</v>
      </c>
      <c r="B92" s="206">
        <f t="shared" si="35"/>
        <v>140000</v>
      </c>
      <c r="C92" s="207">
        <v>140000</v>
      </c>
      <c r="D92" s="207"/>
      <c r="E92" s="207">
        <f t="shared" si="34"/>
        <v>0</v>
      </c>
      <c r="F92" s="207">
        <v>140000</v>
      </c>
      <c r="G92" s="207"/>
      <c r="H92" s="207"/>
      <c r="I92" s="207"/>
      <c r="J92" s="207"/>
      <c r="K92" s="207"/>
      <c r="L92" s="207"/>
      <c r="M92" s="207"/>
      <c r="N92" s="207"/>
      <c r="O92" s="207"/>
      <c r="P92" s="207"/>
      <c r="Q92" s="207"/>
      <c r="R92" s="207">
        <f t="shared" si="36"/>
        <v>140000</v>
      </c>
      <c r="S92" s="207">
        <f t="shared" si="37"/>
        <v>140000</v>
      </c>
      <c r="T92" s="207"/>
      <c r="U92" s="203"/>
    </row>
    <row r="93" spans="1:21" s="204" customFormat="1">
      <c r="A93" s="212" t="s">
        <v>1751</v>
      </c>
      <c r="B93" s="206">
        <f t="shared" si="35"/>
        <v>55000</v>
      </c>
      <c r="C93" s="207">
        <v>55000</v>
      </c>
      <c r="D93" s="207"/>
      <c r="E93" s="207">
        <f t="shared" si="34"/>
        <v>55000</v>
      </c>
      <c r="F93" s="207"/>
      <c r="G93" s="207"/>
      <c r="H93" s="207"/>
      <c r="I93" s="207"/>
      <c r="J93" s="207"/>
      <c r="K93" s="207"/>
      <c r="L93" s="207"/>
      <c r="M93" s="207"/>
      <c r="N93" s="207"/>
      <c r="O93" s="207"/>
      <c r="P93" s="207"/>
      <c r="Q93" s="207"/>
      <c r="R93" s="207">
        <f t="shared" si="36"/>
        <v>55000</v>
      </c>
      <c r="S93" s="207">
        <f t="shared" si="37"/>
        <v>55000</v>
      </c>
      <c r="T93" s="207"/>
      <c r="U93" s="203"/>
    </row>
    <row r="94" spans="1:21" s="204" customFormat="1">
      <c r="A94" s="212" t="s">
        <v>1752</v>
      </c>
      <c r="B94" s="206">
        <f>SUM(C94+D94)</f>
        <v>13200</v>
      </c>
      <c r="C94" s="207">
        <f>13200</f>
        <v>13200</v>
      </c>
      <c r="D94" s="207"/>
      <c r="E94" s="207">
        <f t="shared" si="34"/>
        <v>13200</v>
      </c>
      <c r="F94" s="207"/>
      <c r="G94" s="207"/>
      <c r="H94" s="207"/>
      <c r="I94" s="207"/>
      <c r="J94" s="207"/>
      <c r="K94" s="207"/>
      <c r="L94" s="207"/>
      <c r="M94" s="207"/>
      <c r="N94" s="207"/>
      <c r="O94" s="207"/>
      <c r="P94" s="207"/>
      <c r="Q94" s="207"/>
      <c r="R94" s="207">
        <f t="shared" si="36"/>
        <v>13200</v>
      </c>
      <c r="S94" s="207">
        <v>0</v>
      </c>
      <c r="T94" s="207"/>
      <c r="U94" s="203"/>
    </row>
    <row r="95" spans="1:21" s="204" customFormat="1">
      <c r="A95" s="209" t="s">
        <v>1753</v>
      </c>
      <c r="B95" s="206">
        <f>SUM(C95:D95)</f>
        <v>787700</v>
      </c>
      <c r="C95" s="206">
        <f t="shared" ref="C95:R95" si="38">SUM(C82:C94)</f>
        <v>787700</v>
      </c>
      <c r="D95" s="206">
        <f t="shared" si="38"/>
        <v>0</v>
      </c>
      <c r="E95" s="206">
        <f t="shared" si="38"/>
        <v>495700</v>
      </c>
      <c r="F95" s="206">
        <f t="shared" si="38"/>
        <v>140000</v>
      </c>
      <c r="G95" s="206">
        <f t="shared" si="38"/>
        <v>152000</v>
      </c>
      <c r="H95" s="206">
        <f t="shared" si="38"/>
        <v>0</v>
      </c>
      <c r="I95" s="206">
        <f t="shared" si="38"/>
        <v>0</v>
      </c>
      <c r="J95" s="206">
        <f t="shared" si="38"/>
        <v>0</v>
      </c>
      <c r="K95" s="206">
        <f t="shared" si="38"/>
        <v>0</v>
      </c>
      <c r="L95" s="206">
        <f t="shared" si="38"/>
        <v>0</v>
      </c>
      <c r="M95" s="206">
        <f t="shared" si="38"/>
        <v>0</v>
      </c>
      <c r="N95" s="206">
        <f t="shared" si="38"/>
        <v>0</v>
      </c>
      <c r="O95" s="206">
        <f t="shared" si="38"/>
        <v>0</v>
      </c>
      <c r="P95" s="206">
        <f t="shared" si="38"/>
        <v>0</v>
      </c>
      <c r="Q95" s="206">
        <f t="shared" si="38"/>
        <v>0</v>
      </c>
      <c r="R95" s="206">
        <f t="shared" si="38"/>
        <v>787700</v>
      </c>
      <c r="S95" s="210">
        <f>SUM(S83:S86,S88:S94)</f>
        <v>734500</v>
      </c>
      <c r="T95" s="206">
        <f>SUM(T83:T86,T88:T94)</f>
        <v>0</v>
      </c>
      <c r="U95" s="203"/>
    </row>
    <row r="96" spans="1:21" s="204" customFormat="1">
      <c r="A96" s="209" t="s">
        <v>1754</v>
      </c>
      <c r="B96" s="206">
        <f>SUM(C96:D96)</f>
        <v>20329000</v>
      </c>
      <c r="C96" s="206">
        <f t="shared" ref="C96:R96" si="39">SUM(C62+C69+C76+C80+C95)</f>
        <v>20329000</v>
      </c>
      <c r="D96" s="206">
        <f t="shared" si="39"/>
        <v>0</v>
      </c>
      <c r="E96" s="206">
        <f t="shared" si="39"/>
        <v>14091000</v>
      </c>
      <c r="F96" s="206">
        <f t="shared" si="39"/>
        <v>3158000</v>
      </c>
      <c r="G96" s="206">
        <f t="shared" si="39"/>
        <v>3080000</v>
      </c>
      <c r="H96" s="206">
        <f t="shared" si="39"/>
        <v>0</v>
      </c>
      <c r="I96" s="206">
        <f t="shared" si="39"/>
        <v>0</v>
      </c>
      <c r="J96" s="206">
        <f t="shared" si="39"/>
        <v>0</v>
      </c>
      <c r="K96" s="206">
        <f t="shared" si="39"/>
        <v>0</v>
      </c>
      <c r="L96" s="206">
        <f t="shared" si="39"/>
        <v>0</v>
      </c>
      <c r="M96" s="206">
        <f t="shared" si="39"/>
        <v>0</v>
      </c>
      <c r="N96" s="206">
        <f t="shared" si="39"/>
        <v>0</v>
      </c>
      <c r="O96" s="206">
        <f t="shared" si="39"/>
        <v>0</v>
      </c>
      <c r="P96" s="206">
        <f t="shared" si="39"/>
        <v>0</v>
      </c>
      <c r="Q96" s="206">
        <f t="shared" si="39"/>
        <v>0</v>
      </c>
      <c r="R96" s="206">
        <f t="shared" si="39"/>
        <v>20329000</v>
      </c>
      <c r="S96" s="210">
        <f>SUM(+S62+S69+S80+S95)</f>
        <v>17635850</v>
      </c>
      <c r="T96" s="210">
        <f>SUM(T62+T69+T80+T95)</f>
        <v>0</v>
      </c>
      <c r="U96" s="203"/>
    </row>
    <row r="97" spans="1:21" s="204" customFormat="1">
      <c r="A97" s="201" t="s">
        <v>1755</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1756</v>
      </c>
      <c r="B98" s="206">
        <f>SUM(C98+D98)</f>
        <v>2200000</v>
      </c>
      <c r="C98" s="207">
        <v>2200000</v>
      </c>
      <c r="D98" s="207"/>
      <c r="E98" s="207">
        <f t="shared" ref="E98:E102" si="40">+C98-F98-G98</f>
        <v>2200000</v>
      </c>
      <c r="F98" s="207"/>
      <c r="G98" s="207"/>
      <c r="H98" s="207"/>
      <c r="I98" s="207"/>
      <c r="J98" s="207"/>
      <c r="K98" s="207"/>
      <c r="L98" s="207"/>
      <c r="M98" s="207"/>
      <c r="N98" s="207"/>
      <c r="O98" s="207"/>
      <c r="P98" s="207"/>
      <c r="Q98" s="207"/>
      <c r="R98" s="207">
        <f t="shared" ref="R98:R102" si="41">SUM(E98:Q98)</f>
        <v>2200000</v>
      </c>
      <c r="S98" s="207">
        <f t="shared" ref="S98:S102" si="42">+R98</f>
        <v>2200000</v>
      </c>
      <c r="T98" s="207"/>
      <c r="U98" s="203"/>
    </row>
    <row r="99" spans="1:21" s="204" customFormat="1">
      <c r="A99" s="205" t="s">
        <v>1757</v>
      </c>
      <c r="B99" s="206">
        <f>SUM(C99+D99)</f>
        <v>0</v>
      </c>
      <c r="C99" s="207"/>
      <c r="D99" s="207"/>
      <c r="E99" s="207">
        <f t="shared" si="40"/>
        <v>0</v>
      </c>
      <c r="F99" s="207"/>
      <c r="G99" s="207"/>
      <c r="H99" s="207"/>
      <c r="I99" s="207"/>
      <c r="J99" s="207"/>
      <c r="K99" s="207"/>
      <c r="L99" s="207"/>
      <c r="M99" s="207"/>
      <c r="N99" s="207"/>
      <c r="O99" s="207"/>
      <c r="P99" s="207"/>
      <c r="Q99" s="207"/>
      <c r="R99" s="207">
        <f t="shared" si="41"/>
        <v>0</v>
      </c>
      <c r="S99" s="207">
        <f t="shared" si="42"/>
        <v>0</v>
      </c>
      <c r="T99" s="207"/>
      <c r="U99" s="203"/>
    </row>
    <row r="100" spans="1:21" s="204" customFormat="1" ht="12" customHeight="1">
      <c r="A100" s="205" t="s">
        <v>1758</v>
      </c>
      <c r="B100" s="206">
        <f>SUM(C100+D100)</f>
        <v>0</v>
      </c>
      <c r="C100" s="207"/>
      <c r="D100" s="207"/>
      <c r="E100" s="207">
        <f t="shared" si="40"/>
        <v>0</v>
      </c>
      <c r="F100" s="207"/>
      <c r="G100" s="207"/>
      <c r="H100" s="207"/>
      <c r="I100" s="207"/>
      <c r="J100" s="207"/>
      <c r="K100" s="207"/>
      <c r="L100" s="207"/>
      <c r="M100" s="207"/>
      <c r="N100" s="207"/>
      <c r="O100" s="207"/>
      <c r="P100" s="207"/>
      <c r="Q100" s="207"/>
      <c r="R100" s="207">
        <f t="shared" si="41"/>
        <v>0</v>
      </c>
      <c r="S100" s="207">
        <f t="shared" si="42"/>
        <v>0</v>
      </c>
      <c r="T100" s="207"/>
      <c r="U100" s="203"/>
    </row>
    <row r="101" spans="1:21" s="204" customFormat="1">
      <c r="A101" s="205" t="s">
        <v>1759</v>
      </c>
      <c r="B101" s="206">
        <f>SUM(C101+D101)</f>
        <v>0</v>
      </c>
      <c r="C101" s="207"/>
      <c r="D101" s="207"/>
      <c r="E101" s="207">
        <f t="shared" si="40"/>
        <v>0</v>
      </c>
      <c r="F101" s="207"/>
      <c r="G101" s="207"/>
      <c r="H101" s="207"/>
      <c r="I101" s="207"/>
      <c r="J101" s="207"/>
      <c r="K101" s="207"/>
      <c r="L101" s="207"/>
      <c r="M101" s="207"/>
      <c r="N101" s="207"/>
      <c r="O101" s="207"/>
      <c r="P101" s="207"/>
      <c r="Q101" s="207"/>
      <c r="R101" s="207">
        <f t="shared" si="41"/>
        <v>0</v>
      </c>
      <c r="S101" s="207">
        <f t="shared" si="42"/>
        <v>0</v>
      </c>
      <c r="T101" s="207"/>
      <c r="U101" s="203"/>
    </row>
    <row r="102" spans="1:21" s="204" customFormat="1">
      <c r="A102" s="933"/>
      <c r="B102" s="206">
        <f>SUM(C102+D102)</f>
        <v>0</v>
      </c>
      <c r="C102" s="207"/>
      <c r="D102" s="207"/>
      <c r="E102" s="207">
        <f t="shared" si="40"/>
        <v>0</v>
      </c>
      <c r="F102" s="207"/>
      <c r="G102" s="207"/>
      <c r="H102" s="207"/>
      <c r="I102" s="207"/>
      <c r="J102" s="207"/>
      <c r="K102" s="207"/>
      <c r="L102" s="207"/>
      <c r="M102" s="207"/>
      <c r="N102" s="207"/>
      <c r="O102" s="207"/>
      <c r="P102" s="207"/>
      <c r="Q102" s="207"/>
      <c r="R102" s="207">
        <f t="shared" si="41"/>
        <v>0</v>
      </c>
      <c r="S102" s="207">
        <f t="shared" si="42"/>
        <v>0</v>
      </c>
      <c r="T102" s="207"/>
      <c r="U102" s="203"/>
    </row>
    <row r="103" spans="1:21" s="204" customFormat="1">
      <c r="A103" s="209" t="s">
        <v>1760</v>
      </c>
      <c r="B103" s="206">
        <f>SUM(C103:D103)</f>
        <v>2200000</v>
      </c>
      <c r="C103" s="206">
        <f t="shared" ref="C103:T103" si="43">SUM(C98:C102)</f>
        <v>2200000</v>
      </c>
      <c r="D103" s="206">
        <f t="shared" si="43"/>
        <v>0</v>
      </c>
      <c r="E103" s="206">
        <f t="shared" si="43"/>
        <v>2200000</v>
      </c>
      <c r="F103" s="206">
        <f t="shared" si="43"/>
        <v>0</v>
      </c>
      <c r="G103" s="206">
        <f t="shared" si="43"/>
        <v>0</v>
      </c>
      <c r="H103" s="206">
        <f t="shared" si="43"/>
        <v>0</v>
      </c>
      <c r="I103" s="206">
        <f t="shared" si="43"/>
        <v>0</v>
      </c>
      <c r="J103" s="206">
        <f t="shared" si="43"/>
        <v>0</v>
      </c>
      <c r="K103" s="206">
        <f t="shared" si="43"/>
        <v>0</v>
      </c>
      <c r="L103" s="206">
        <f t="shared" si="43"/>
        <v>0</v>
      </c>
      <c r="M103" s="206">
        <f t="shared" si="43"/>
        <v>0</v>
      </c>
      <c r="N103" s="206">
        <f t="shared" si="43"/>
        <v>0</v>
      </c>
      <c r="O103" s="206">
        <f t="shared" si="43"/>
        <v>0</v>
      </c>
      <c r="P103" s="206">
        <f t="shared" si="43"/>
        <v>0</v>
      </c>
      <c r="Q103" s="206">
        <f t="shared" si="43"/>
        <v>0</v>
      </c>
      <c r="R103" s="206">
        <f t="shared" si="43"/>
        <v>2200000</v>
      </c>
      <c r="S103" s="210">
        <f t="shared" si="43"/>
        <v>2200000</v>
      </c>
      <c r="T103" s="210">
        <f t="shared" si="43"/>
        <v>0</v>
      </c>
      <c r="U103" s="203"/>
    </row>
    <row r="104" spans="1:21" s="204" customFormat="1">
      <c r="A104" s="209" t="s">
        <v>1761</v>
      </c>
      <c r="B104" s="210">
        <f>SUM(C104:D104)</f>
        <v>22529000</v>
      </c>
      <c r="C104" s="210">
        <f t="shared" ref="C104:R104" si="44">SUM(C96+C103)</f>
        <v>22529000</v>
      </c>
      <c r="D104" s="210">
        <f t="shared" si="44"/>
        <v>0</v>
      </c>
      <c r="E104" s="210">
        <f t="shared" si="44"/>
        <v>16291000</v>
      </c>
      <c r="F104" s="210">
        <f t="shared" si="44"/>
        <v>3158000</v>
      </c>
      <c r="G104" s="210">
        <f t="shared" si="44"/>
        <v>3080000</v>
      </c>
      <c r="H104" s="210">
        <f t="shared" si="44"/>
        <v>0</v>
      </c>
      <c r="I104" s="210">
        <f t="shared" si="44"/>
        <v>0</v>
      </c>
      <c r="J104" s="210">
        <f t="shared" si="44"/>
        <v>0</v>
      </c>
      <c r="K104" s="210">
        <f t="shared" si="44"/>
        <v>0</v>
      </c>
      <c r="L104" s="210">
        <f t="shared" si="44"/>
        <v>0</v>
      </c>
      <c r="M104" s="210">
        <f t="shared" si="44"/>
        <v>0</v>
      </c>
      <c r="N104" s="210">
        <f t="shared" si="44"/>
        <v>0</v>
      </c>
      <c r="O104" s="210">
        <f t="shared" si="44"/>
        <v>0</v>
      </c>
      <c r="P104" s="210">
        <f t="shared" si="44"/>
        <v>0</v>
      </c>
      <c r="Q104" s="210">
        <f t="shared" si="44"/>
        <v>0</v>
      </c>
      <c r="R104" s="206">
        <f t="shared" si="44"/>
        <v>22529000</v>
      </c>
      <c r="S104" s="210">
        <f>S96+S103</f>
        <v>19835850</v>
      </c>
      <c r="T104" s="210">
        <f>T96+T103</f>
        <v>0</v>
      </c>
      <c r="U104" s="203"/>
    </row>
    <row r="105" spans="1:21" s="219" customFormat="1">
      <c r="A105" s="688" t="s">
        <v>1762</v>
      </c>
      <c r="B105" s="218"/>
      <c r="C105" s="218"/>
      <c r="D105" s="218"/>
      <c r="H105" s="220" t="s">
        <v>1763</v>
      </c>
      <c r="I105" s="220"/>
      <c r="J105" s="220"/>
      <c r="R105" s="221" t="s">
        <v>1764</v>
      </c>
      <c r="S105" s="207">
        <v>0</v>
      </c>
      <c r="T105" s="207"/>
      <c r="U105" s="222"/>
    </row>
    <row r="106" spans="1:21" s="219" customFormat="1">
      <c r="A106" s="220" t="s">
        <v>1765</v>
      </c>
      <c r="C106" s="218"/>
      <c r="D106" s="218"/>
      <c r="I106" s="223" t="s">
        <v>1766</v>
      </c>
      <c r="J106" s="223"/>
      <c r="R106" s="221" t="s">
        <v>1767</v>
      </c>
      <c r="S106" s="210">
        <f>S104+S105</f>
        <v>19835850</v>
      </c>
      <c r="T106" s="210">
        <f>T104+T105</f>
        <v>0</v>
      </c>
      <c r="U106" s="222"/>
    </row>
    <row r="107" spans="1:21" s="224" customFormat="1">
      <c r="A107" s="223" t="s">
        <v>1768</v>
      </c>
      <c r="B107" s="218"/>
      <c r="C107" s="218"/>
      <c r="D107" s="218"/>
      <c r="E107" s="206">
        <f>Application!AO631</f>
        <v>16291000</v>
      </c>
      <c r="F107" s="206">
        <f>Application!AO618</f>
        <v>3158000</v>
      </c>
      <c r="G107" s="206">
        <f>Application!AO619</f>
        <v>3080000</v>
      </c>
      <c r="H107" s="206">
        <f>Application!AO620</f>
        <v>0</v>
      </c>
      <c r="I107" s="206">
        <f>Application!AO621</f>
        <v>0</v>
      </c>
      <c r="J107" s="206">
        <f>Application!AO622</f>
        <v>0</v>
      </c>
      <c r="K107" s="206">
        <f>Application!AO623</f>
        <v>0</v>
      </c>
      <c r="L107" s="206">
        <f>Application!AO624</f>
        <v>0</v>
      </c>
      <c r="M107" s="206">
        <f>Application!AO625</f>
        <v>0</v>
      </c>
      <c r="N107" s="206">
        <f>Application!AO626</f>
        <v>0</v>
      </c>
      <c r="O107" s="206">
        <f>Application!AO627</f>
        <v>0</v>
      </c>
      <c r="P107" s="206">
        <f>Application!AO628</f>
        <v>0</v>
      </c>
      <c r="Q107" s="206">
        <f>Application!AO629</f>
        <v>0</v>
      </c>
      <c r="R107" s="343"/>
      <c r="S107" s="219"/>
      <c r="T107" s="219"/>
      <c r="U107" s="250"/>
    </row>
    <row r="108" spans="1:21" s="224" customFormat="1">
      <c r="A108" s="223"/>
      <c r="B108" s="218"/>
      <c r="C108" s="218"/>
      <c r="D108" s="218"/>
      <c r="E108" s="343"/>
      <c r="F108" s="343"/>
      <c r="G108" s="343"/>
      <c r="H108" s="343"/>
      <c r="I108" s="343"/>
      <c r="J108" s="343"/>
      <c r="K108" s="343"/>
      <c r="L108" s="343"/>
      <c r="M108" s="343"/>
      <c r="N108" s="343"/>
      <c r="O108" s="343"/>
      <c r="P108" s="343"/>
      <c r="Q108" s="343"/>
      <c r="R108" s="343"/>
      <c r="S108" s="219"/>
      <c r="T108" s="219"/>
      <c r="U108" s="250"/>
    </row>
    <row r="109" spans="1:21" s="224" customFormat="1" ht="12.3">
      <c r="A109" s="84" t="s">
        <v>1769</v>
      </c>
      <c r="B109" s="218"/>
      <c r="C109" s="218"/>
      <c r="D109" s="218"/>
      <c r="E109" s="343"/>
      <c r="F109" s="343"/>
      <c r="G109" s="343"/>
      <c r="H109" s="343"/>
      <c r="I109" s="343"/>
      <c r="J109" s="343"/>
      <c r="K109" s="343"/>
      <c r="L109" s="343"/>
      <c r="M109" s="343"/>
      <c r="N109" s="343"/>
      <c r="O109" s="343"/>
      <c r="P109" s="343"/>
      <c r="Q109" s="343"/>
      <c r="R109" s="343"/>
      <c r="S109" s="219"/>
      <c r="T109" s="219"/>
      <c r="U109" s="250"/>
    </row>
    <row r="110" spans="1:21" s="224" customFormat="1" ht="12.3">
      <c r="A110" s="107" t="s">
        <v>1770</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3">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4.1">
      <c r="A112" s="253" t="s">
        <v>1771</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3">
      <c r="A113" s="107" t="s">
        <v>1772</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4" customFormat="1" ht="14.1">
      <c r="A114" s="253" t="s">
        <v>1773</v>
      </c>
      <c r="B114" s="219"/>
      <c r="C114" s="219"/>
      <c r="D114" s="219"/>
      <c r="E114" s="219"/>
      <c r="F114" s="219"/>
      <c r="G114" s="219"/>
      <c r="H114" s="219"/>
      <c r="I114" s="219"/>
      <c r="J114" s="219"/>
      <c r="K114" s="219"/>
      <c r="L114" s="219"/>
      <c r="M114" s="219"/>
      <c r="N114" s="219"/>
      <c r="O114" s="219"/>
      <c r="P114" s="219"/>
      <c r="Q114" s="219"/>
      <c r="R114" s="219"/>
      <c r="S114" s="219"/>
      <c r="T114" s="219"/>
      <c r="U114" s="403"/>
    </row>
    <row r="115" spans="1:21" s="219" customFormat="1" ht="14.1">
      <c r="A115" s="253"/>
      <c r="U115" s="222"/>
    </row>
    <row r="116" spans="1:21" s="224" customFormat="1">
      <c r="A116" s="482" t="s">
        <v>1774</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2" t="s">
        <v>1775</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4" customFormat="1">
      <c r="A118" s="482" t="s">
        <v>1776</v>
      </c>
      <c r="B118" s="219"/>
      <c r="C118" s="219"/>
      <c r="D118" s="219"/>
      <c r="E118" s="219"/>
      <c r="F118" s="219"/>
      <c r="G118" s="219"/>
      <c r="H118" s="219"/>
      <c r="I118" s="219"/>
      <c r="J118" s="219"/>
      <c r="K118" s="219"/>
      <c r="L118" s="219"/>
      <c r="M118" s="219"/>
      <c r="N118" s="219"/>
      <c r="O118" s="219"/>
      <c r="P118" s="219"/>
      <c r="Q118" s="219"/>
      <c r="R118" s="219"/>
      <c r="S118" s="219"/>
      <c r="T118" s="219"/>
      <c r="U118" s="403"/>
    </row>
    <row r="119" spans="1:21" s="404" customFormat="1">
      <c r="A119" s="482" t="s">
        <v>1777</v>
      </c>
      <c r="B119" s="219"/>
      <c r="C119" s="219"/>
      <c r="D119" s="219"/>
      <c r="E119" s="219"/>
      <c r="F119" s="219"/>
      <c r="G119" s="219"/>
      <c r="H119" s="219"/>
      <c r="I119" s="219"/>
      <c r="J119" s="219"/>
      <c r="K119" s="219"/>
      <c r="L119" s="219"/>
      <c r="M119" s="219"/>
      <c r="N119" s="219"/>
      <c r="O119" s="219"/>
      <c r="P119" s="219"/>
      <c r="Q119" s="219"/>
      <c r="R119" s="219"/>
      <c r="S119" s="219"/>
      <c r="T119" s="219"/>
      <c r="U119" s="403"/>
    </row>
    <row r="120" spans="1:21" s="219" customFormat="1" ht="14.1">
      <c r="A120" s="253"/>
      <c r="U120" s="222"/>
    </row>
    <row r="121" spans="1:21" s="476" customFormat="1" ht="15">
      <c r="A121" s="475" t="s">
        <v>1778</v>
      </c>
      <c r="U121" s="477"/>
    </row>
    <row r="122" spans="1:21" s="219" customFormat="1">
      <c r="A122" s="220" t="s">
        <v>1779</v>
      </c>
      <c r="D122" s="1505" t="s">
        <v>1780</v>
      </c>
      <c r="E122" s="1505"/>
      <c r="F122" s="1505"/>
      <c r="U122" s="222"/>
    </row>
    <row r="123" spans="1:21" s="219" customFormat="1">
      <c r="A123" s="219" t="s">
        <v>1781</v>
      </c>
      <c r="B123" s="471"/>
      <c r="D123" s="1507" t="s">
        <v>1782</v>
      </c>
      <c r="E123" s="1508"/>
      <c r="F123" s="1508"/>
      <c r="G123" s="1508"/>
      <c r="H123" s="1508"/>
      <c r="I123" s="1508"/>
      <c r="J123" s="1508"/>
      <c r="K123" s="1508"/>
      <c r="L123" s="1508"/>
      <c r="M123" s="1508"/>
      <c r="N123" s="1508"/>
      <c r="O123" s="1508"/>
      <c r="P123" s="1508"/>
      <c r="Q123" s="1508"/>
      <c r="R123" s="1508"/>
      <c r="S123" s="1508"/>
      <c r="U123" s="222"/>
    </row>
    <row r="124" spans="1:21" s="219" customFormat="1" ht="12.3">
      <c r="A124" s="684" t="s">
        <v>1783</v>
      </c>
      <c r="B124" s="471"/>
      <c r="C124" s="684"/>
      <c r="D124" s="1508"/>
      <c r="E124" s="1508"/>
      <c r="F124" s="1508"/>
      <c r="G124" s="1508"/>
      <c r="H124" s="1508"/>
      <c r="I124" s="1508"/>
      <c r="J124" s="1508"/>
      <c r="K124" s="1508"/>
      <c r="L124" s="1508"/>
      <c r="M124" s="1508"/>
      <c r="N124" s="1508"/>
      <c r="O124" s="1508"/>
      <c r="P124" s="1508"/>
      <c r="Q124" s="1508"/>
      <c r="R124" s="1508"/>
      <c r="S124" s="1508"/>
      <c r="U124" s="222"/>
    </row>
    <row r="125" spans="1:21" s="219" customFormat="1" ht="12.3">
      <c r="A125" s="684" t="s">
        <v>1784</v>
      </c>
      <c r="B125" s="471"/>
      <c r="C125" s="684"/>
      <c r="D125" s="1508"/>
      <c r="E125" s="1508"/>
      <c r="F125" s="1508"/>
      <c r="G125" s="1508"/>
      <c r="H125" s="1508"/>
      <c r="I125" s="1508"/>
      <c r="J125" s="1508"/>
      <c r="K125" s="1508"/>
      <c r="L125" s="1508"/>
      <c r="M125" s="1508"/>
      <c r="N125" s="1508"/>
      <c r="O125" s="1508"/>
      <c r="P125" s="1508"/>
      <c r="Q125" s="1508"/>
      <c r="R125" s="1508"/>
      <c r="S125" s="1508"/>
      <c r="U125" s="222"/>
    </row>
    <row r="126" spans="1:21" s="219" customFormat="1" ht="12.3">
      <c r="A126" s="684" t="s">
        <v>1785</v>
      </c>
      <c r="B126" s="471"/>
      <c r="C126" s="684"/>
      <c r="D126" s="831"/>
      <c r="E126" s="831"/>
      <c r="F126" s="831"/>
      <c r="G126" s="831"/>
      <c r="H126" s="831"/>
      <c r="I126" s="831"/>
      <c r="J126" s="831"/>
      <c r="K126" s="831"/>
      <c r="L126" s="831"/>
      <c r="M126" s="831"/>
      <c r="N126" s="831"/>
      <c r="O126" s="684"/>
      <c r="P126" s="684"/>
      <c r="Q126" s="684"/>
      <c r="R126" s="684"/>
      <c r="S126" s="684"/>
      <c r="U126" s="222"/>
    </row>
    <row r="127" spans="1:21" s="219" customFormat="1" ht="12.3">
      <c r="A127" s="684" t="s">
        <v>1786</v>
      </c>
      <c r="B127" s="471"/>
      <c r="C127" s="684"/>
      <c r="D127" s="831"/>
      <c r="E127" s="831"/>
      <c r="F127" s="831"/>
      <c r="G127" s="831"/>
      <c r="H127" s="831"/>
      <c r="I127" s="831"/>
      <c r="J127" s="831"/>
      <c r="K127" s="831"/>
      <c r="L127" s="831"/>
      <c r="M127" s="831"/>
      <c r="N127" s="831"/>
      <c r="O127" s="684"/>
      <c r="P127" s="684"/>
      <c r="Q127" s="684"/>
      <c r="R127" s="684"/>
      <c r="S127" s="684"/>
      <c r="U127" s="222"/>
    </row>
    <row r="128" spans="1:21" s="219" customFormat="1" ht="12.3">
      <c r="A128" s="684" t="s">
        <v>1787</v>
      </c>
      <c r="B128" s="471"/>
      <c r="C128" s="684"/>
      <c r="D128" s="1502"/>
      <c r="E128" s="1502"/>
      <c r="F128" s="1502"/>
      <c r="G128" s="1502"/>
      <c r="H128" s="1502"/>
      <c r="I128" s="684"/>
      <c r="J128" s="1503"/>
      <c r="K128" s="1503"/>
      <c r="L128" s="684"/>
      <c r="M128" s="684"/>
      <c r="N128" s="684"/>
      <c r="O128" s="684"/>
      <c r="P128" s="684"/>
      <c r="Q128" s="684"/>
      <c r="R128" s="684"/>
      <c r="S128" s="684"/>
      <c r="U128" s="222"/>
    </row>
    <row r="129" spans="1:21" s="219" customFormat="1" ht="12.3">
      <c r="A129" s="684" t="s">
        <v>228</v>
      </c>
      <c r="B129" s="471"/>
      <c r="C129" s="684"/>
      <c r="D129" s="1504" t="s">
        <v>1788</v>
      </c>
      <c r="E129" s="1504"/>
      <c r="F129" s="1504"/>
      <c r="G129" s="1504"/>
      <c r="H129" s="1504"/>
      <c r="I129" s="684"/>
      <c r="J129" s="684" t="s">
        <v>1789</v>
      </c>
      <c r="K129" s="684"/>
      <c r="L129" s="684"/>
      <c r="M129" s="684"/>
      <c r="N129" s="684"/>
      <c r="O129" s="684"/>
      <c r="P129" s="684"/>
      <c r="Q129" s="684"/>
      <c r="R129" s="684"/>
      <c r="S129" s="684"/>
      <c r="U129" s="222"/>
    </row>
    <row r="130" spans="1:21" s="219" customFormat="1" ht="12.3">
      <c r="A130" s="684"/>
      <c r="B130" s="469"/>
      <c r="C130" s="684"/>
      <c r="D130" s="684"/>
      <c r="E130" s="684"/>
      <c r="F130" s="684"/>
      <c r="G130" s="684"/>
      <c r="H130" s="684"/>
      <c r="I130" s="684"/>
      <c r="J130" s="684"/>
      <c r="K130" s="684"/>
      <c r="L130" s="684"/>
      <c r="M130" s="684"/>
      <c r="N130" s="684"/>
      <c r="O130" s="684"/>
      <c r="P130" s="684"/>
      <c r="Q130" s="684"/>
      <c r="R130" s="684"/>
      <c r="S130" s="684"/>
      <c r="U130" s="222"/>
    </row>
    <row r="131" spans="1:21" s="219" customFormat="1" ht="12.3">
      <c r="A131" s="86" t="s">
        <v>1790</v>
      </c>
      <c r="B131" s="472">
        <f>SUM(B123:B129)</f>
        <v>0</v>
      </c>
      <c r="C131" s="684"/>
      <c r="D131" s="1249" t="s">
        <v>1791</v>
      </c>
      <c r="E131" s="1249"/>
      <c r="F131" s="1249"/>
      <c r="G131" s="1249"/>
      <c r="H131" s="1249"/>
      <c r="I131" s="684"/>
      <c r="J131" s="1249"/>
      <c r="K131" s="1249"/>
      <c r="L131" s="1249"/>
      <c r="M131" s="1249"/>
      <c r="N131" s="684"/>
      <c r="O131" s="684"/>
      <c r="P131" s="684"/>
      <c r="Q131" s="684"/>
      <c r="R131" s="684"/>
      <c r="S131" s="684"/>
      <c r="U131" s="222"/>
    </row>
    <row r="132" spans="1:21" s="219" customFormat="1" ht="12.3">
      <c r="A132" s="905"/>
      <c r="B132" s="684"/>
      <c r="C132" s="684"/>
      <c r="D132" s="955" t="s">
        <v>1792</v>
      </c>
      <c r="E132" s="955"/>
      <c r="F132" s="955"/>
      <c r="G132" s="955"/>
      <c r="H132" s="955"/>
      <c r="I132" s="684"/>
      <c r="J132" s="955" t="s">
        <v>1793</v>
      </c>
      <c r="K132" s="955"/>
      <c r="L132" s="955"/>
      <c r="M132" s="955"/>
      <c r="N132" s="684"/>
      <c r="O132" s="684"/>
      <c r="P132" s="684"/>
      <c r="Q132" s="684"/>
      <c r="R132" s="684"/>
      <c r="S132" s="684"/>
      <c r="U132" s="222"/>
    </row>
    <row r="133" spans="1:21" s="219" customFormat="1" ht="12.3">
      <c r="A133" s="905"/>
      <c r="B133" s="684"/>
      <c r="C133" s="684"/>
      <c r="D133" s="684"/>
      <c r="E133" s="684"/>
      <c r="F133" s="684"/>
      <c r="G133" s="684"/>
      <c r="H133" s="684"/>
      <c r="I133" s="684"/>
      <c r="J133" s="684"/>
      <c r="K133" s="684"/>
      <c r="L133" s="684"/>
      <c r="M133" s="684"/>
      <c r="N133" s="684"/>
      <c r="O133" s="684"/>
      <c r="P133" s="684"/>
      <c r="Q133" s="684"/>
      <c r="R133" s="684"/>
      <c r="S133" s="684"/>
      <c r="U133" s="222"/>
    </row>
    <row r="134" spans="1:21" s="219" customFormat="1" ht="12.3">
      <c r="A134" s="266" t="s">
        <v>1794</v>
      </c>
      <c r="B134" s="684"/>
      <c r="C134" s="684"/>
      <c r="D134" s="684"/>
      <c r="E134" s="684"/>
      <c r="F134" s="684"/>
      <c r="G134" s="684"/>
      <c r="H134" s="684"/>
      <c r="I134" s="684"/>
      <c r="J134" s="684"/>
      <c r="K134" s="684"/>
      <c r="L134" s="684"/>
      <c r="M134" s="684"/>
      <c r="N134" s="684"/>
      <c r="O134" s="684"/>
      <c r="P134" s="684"/>
      <c r="Q134" s="684"/>
      <c r="R134" s="684"/>
      <c r="S134" s="684"/>
      <c r="U134" s="222"/>
    </row>
    <row r="135" spans="1:21" s="219" customFormat="1" ht="12.3">
      <c r="A135" s="107" t="s">
        <v>1795</v>
      </c>
      <c r="B135" s="684"/>
      <c r="C135" s="684"/>
      <c r="D135" s="684"/>
      <c r="E135" s="684"/>
      <c r="F135" s="684"/>
      <c r="G135" s="684"/>
      <c r="H135" s="684"/>
      <c r="I135" s="684"/>
      <c r="J135" s="684"/>
      <c r="K135" s="684"/>
      <c r="L135" s="684"/>
      <c r="M135" s="684"/>
      <c r="N135" s="906"/>
      <c r="O135" s="684"/>
      <c r="P135" s="684"/>
      <c r="Q135" s="684"/>
      <c r="R135" s="684"/>
      <c r="S135" s="684"/>
      <c r="U135" s="222"/>
    </row>
    <row r="136" spans="1:21" ht="12.3">
      <c r="A136" s="905"/>
      <c r="B136" s="684"/>
      <c r="C136" s="684"/>
      <c r="D136" s="684"/>
      <c r="E136" s="684"/>
      <c r="F136" s="684"/>
      <c r="G136" s="684"/>
      <c r="H136" s="684"/>
      <c r="I136" s="684"/>
      <c r="J136" s="684"/>
      <c r="K136" s="684"/>
      <c r="L136" s="684"/>
      <c r="M136" s="684"/>
      <c r="N136" s="684"/>
      <c r="O136" s="684"/>
      <c r="P136" s="684"/>
      <c r="Q136" s="684"/>
      <c r="R136" s="684"/>
      <c r="S136" s="684"/>
    </row>
    <row r="137" spans="1:21" ht="12" customHeight="1">
      <c r="A137" s="905"/>
      <c r="B137" s="684"/>
      <c r="C137" s="684"/>
      <c r="D137" s="684"/>
      <c r="E137" s="684"/>
      <c r="F137" s="684"/>
      <c r="G137" s="684"/>
      <c r="H137" s="684"/>
      <c r="I137" s="684"/>
      <c r="J137" s="684"/>
      <c r="K137" s="684"/>
      <c r="L137" s="684"/>
      <c r="M137" s="684"/>
      <c r="N137" s="684"/>
      <c r="O137" s="684"/>
      <c r="P137" s="684"/>
      <c r="Q137" s="684"/>
      <c r="R137" s="684"/>
      <c r="S137" s="684"/>
    </row>
    <row r="138" spans="1:21" ht="12" customHeight="1">
      <c r="A138" s="1509"/>
      <c r="B138" s="1502"/>
      <c r="C138" s="1502"/>
      <c r="D138" s="291"/>
      <c r="E138" s="1503"/>
      <c r="F138" s="1503"/>
      <c r="G138" s="684"/>
      <c r="H138" s="684"/>
      <c r="I138" s="684"/>
      <c r="J138" s="684"/>
      <c r="K138" s="684"/>
      <c r="L138" s="684"/>
      <c r="M138" s="684"/>
      <c r="N138" s="684"/>
      <c r="O138" s="684"/>
      <c r="P138" s="684"/>
      <c r="Q138" s="684"/>
      <c r="R138" s="684"/>
      <c r="S138" s="684"/>
    </row>
    <row r="139" spans="1:21" ht="12" customHeight="1">
      <c r="A139" s="1506" t="s">
        <v>1796</v>
      </c>
      <c r="B139" s="1506"/>
      <c r="C139" s="1506"/>
      <c r="D139" s="291"/>
      <c r="E139" s="684" t="s">
        <v>1789</v>
      </c>
      <c r="F139" s="684"/>
      <c r="G139" s="684"/>
      <c r="H139" s="684"/>
      <c r="I139" s="684"/>
      <c r="J139" s="684"/>
      <c r="K139" s="684"/>
      <c r="L139" s="684"/>
      <c r="M139" s="684"/>
      <c r="N139" s="684"/>
      <c r="O139" s="684"/>
      <c r="P139" s="684"/>
      <c r="Q139" s="684"/>
      <c r="R139" s="684"/>
      <c r="S139" s="684"/>
    </row>
    <row r="140" spans="1:21" s="252" customFormat="1" ht="12" customHeight="1">
      <c r="A140" s="470"/>
      <c r="B140" s="684"/>
      <c r="C140" s="684"/>
      <c r="D140" s="291"/>
      <c r="E140" s="684"/>
      <c r="F140" s="684"/>
      <c r="G140" s="684"/>
      <c r="H140" s="684"/>
      <c r="I140" s="684"/>
      <c r="J140" s="684"/>
      <c r="K140" s="684"/>
      <c r="L140" s="684"/>
      <c r="M140" s="684"/>
      <c r="N140" s="684"/>
      <c r="O140" s="684"/>
      <c r="P140" s="684"/>
      <c r="Q140" s="684"/>
      <c r="R140" s="684"/>
      <c r="S140" s="684"/>
      <c r="T140" s="496"/>
      <c r="U140" s="405"/>
    </row>
    <row r="141" spans="1:21" s="473" customFormat="1" ht="12" customHeight="1">
      <c r="B141" s="291"/>
      <c r="C141" s="291"/>
      <c r="D141" s="291"/>
      <c r="E141" s="291"/>
      <c r="F141" s="291"/>
      <c r="G141" s="684"/>
      <c r="H141" s="684"/>
      <c r="I141" s="684"/>
      <c r="J141" s="684"/>
      <c r="K141" s="684"/>
      <c r="L141" s="684"/>
      <c r="M141" s="684"/>
      <c r="N141" s="684"/>
      <c r="O141" s="684"/>
      <c r="P141" s="684"/>
      <c r="Q141" s="684"/>
      <c r="R141" s="684"/>
      <c r="S141" s="684"/>
      <c r="T141" s="496"/>
      <c r="U141" s="474"/>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3" priority="8">
      <formula>AND(B25&gt;0,OR(A25="",A25="Other: (Specify)"))</formula>
    </cfRule>
  </conditionalFormatting>
  <conditionalFormatting sqref="A37">
    <cfRule type="expression" dxfId="62" priority="7">
      <formula>AND(B37&gt;0,OR(A37="",A37="Other: (Specify)"))</formula>
    </cfRule>
  </conditionalFormatting>
  <conditionalFormatting sqref="A52">
    <cfRule type="expression" dxfId="61" priority="6">
      <formula>AND(B52&gt;0,OR(A52="",A52="Other: (Specify)"))</formula>
    </cfRule>
  </conditionalFormatting>
  <conditionalFormatting sqref="A60">
    <cfRule type="expression" dxfId="60" priority="5">
      <formula>AND(B60&gt;0,OR(A60="",A60="Other: (Specify)"))</formula>
    </cfRule>
  </conditionalFormatting>
  <conditionalFormatting sqref="A68">
    <cfRule type="expression" dxfId="59" priority="4">
      <formula>AND(B68&gt;0,OR(A68="",A68="Other: (Specify)"))</formula>
    </cfRule>
  </conditionalFormatting>
  <conditionalFormatting sqref="A75">
    <cfRule type="expression" dxfId="58" priority="3">
      <formula>AND(B75&gt;0,OR(A75="",A75="Other: (Specify)"))</formula>
    </cfRule>
  </conditionalFormatting>
  <conditionalFormatting sqref="A92:A94">
    <cfRule type="expression" dxfId="57" priority="2">
      <formula>AND(B92&gt;0,OR(A92="",A92="Other: (Specify)"))</formula>
    </cfRule>
  </conditionalFormatting>
  <conditionalFormatting sqref="A102">
    <cfRule type="expression" dxfId="56" priority="1">
      <formula>AND(B102&gt;0,OR(A102="",A102="Other: (Specify)"))</formula>
    </cfRule>
  </conditionalFormatting>
  <conditionalFormatting sqref="E104:Q104">
    <cfRule type="cellIs" dxfId="55" priority="185" stopIfTrue="1" operator="notEqual">
      <formula>E$107</formula>
    </cfRule>
  </conditionalFormatting>
  <conditionalFormatting sqref="R4:R15">
    <cfRule type="cellIs" dxfId="54"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3"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2"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1"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0"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9"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8"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7"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6" priority="192" stopIfTrue="1" operator="notEqual">
      <formula>$B78</formula>
    </cfRule>
  </conditionalFormatting>
  <conditionalFormatting sqref="R82:R96">
    <cfRule type="cellIs" dxfId="45"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4"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3" priority="121" stopIfTrue="1">
      <formula>(S10+T10)&gt;C10</formula>
    </cfRule>
  </conditionalFormatting>
  <conditionalFormatting sqref="S13:S14">
    <cfRule type="expression" dxfId="42" priority="109" stopIfTrue="1">
      <formula>(S13+T13)&gt;C13</formula>
    </cfRule>
  </conditionalFormatting>
  <conditionalFormatting sqref="S17:S25">
    <cfRule type="expression" dxfId="41" priority="101" stopIfTrue="1">
      <formula>(S17+T17)&gt;C17</formula>
    </cfRule>
  </conditionalFormatting>
  <conditionalFormatting sqref="S27">
    <cfRule type="expression" dxfId="40" priority="100" stopIfTrue="1">
      <formula>(S27+T27)&gt;C27</formula>
    </cfRule>
  </conditionalFormatting>
  <conditionalFormatting sqref="S29:S37">
    <cfRule type="expression" dxfId="39" priority="91" stopIfTrue="1">
      <formula>(S29+T29)&gt;C29</formula>
    </cfRule>
  </conditionalFormatting>
  <conditionalFormatting sqref="S40:S41">
    <cfRule type="expression" dxfId="38" priority="79" stopIfTrue="1">
      <formula>(S40+T40)&gt;C40</formula>
    </cfRule>
  </conditionalFormatting>
  <conditionalFormatting sqref="S43">
    <cfRule type="expression" dxfId="37" priority="78" stopIfTrue="1">
      <formula>(S43+T43)&gt;C43</formula>
    </cfRule>
  </conditionalFormatting>
  <conditionalFormatting sqref="S45:S52">
    <cfRule type="expression" dxfId="36" priority="68" stopIfTrue="1">
      <formula>(S45+T45)&gt;C45</formula>
    </cfRule>
  </conditionalFormatting>
  <conditionalFormatting sqref="S64:S68">
    <cfRule type="expression" dxfId="35" priority="55" stopIfTrue="1">
      <formula>(S64+T64)&gt;C64</formula>
    </cfRule>
  </conditionalFormatting>
  <conditionalFormatting sqref="S78:S79">
    <cfRule type="expression" dxfId="34" priority="51" stopIfTrue="1">
      <formula>(S78+T78)&gt;C78</formula>
    </cfRule>
  </conditionalFormatting>
  <conditionalFormatting sqref="S83:S86">
    <cfRule type="expression" dxfId="33" priority="47" stopIfTrue="1">
      <formula>(S83+T83)&gt;C83</formula>
    </cfRule>
  </conditionalFormatting>
  <conditionalFormatting sqref="S88:S94">
    <cfRule type="expression" dxfId="32" priority="34" stopIfTrue="1">
      <formula>(S88+T88)&gt;C88</formula>
    </cfRule>
  </conditionalFormatting>
  <conditionalFormatting sqref="S98:S102">
    <cfRule type="expression" dxfId="31" priority="15" stopIfTrue="1">
      <formula>(S98+T98)&gt;C98</formula>
    </cfRule>
  </conditionalFormatting>
  <conditionalFormatting sqref="T9">
    <cfRule type="expression" dxfId="30" priority="241" stopIfTrue="1">
      <formula>T9&gt;C9</formula>
    </cfRule>
  </conditionalFormatting>
  <conditionalFormatting sqref="T10">
    <cfRule type="expression" dxfId="29" priority="240" stopIfTrue="1">
      <formula>(T10+S10)&gt;C10</formula>
    </cfRule>
  </conditionalFormatting>
  <conditionalFormatting sqref="T13:T14">
    <cfRule type="expression" dxfId="28" priority="119" stopIfTrue="1">
      <formula>(T13+S13)&gt;C13</formula>
    </cfRule>
  </conditionalFormatting>
  <conditionalFormatting sqref="T17:T25">
    <cfRule type="expression" dxfId="27" priority="111" stopIfTrue="1">
      <formula>(T17+S17)&gt;C17</formula>
    </cfRule>
  </conditionalFormatting>
  <conditionalFormatting sqref="T27">
    <cfRule type="expression" dxfId="26" priority="99" stopIfTrue="1">
      <formula>(T27+S27)&gt;C27</formula>
    </cfRule>
  </conditionalFormatting>
  <conditionalFormatting sqref="T29:T37">
    <cfRule type="expression" dxfId="25" priority="83" stopIfTrue="1">
      <formula>(T29+S29)&gt;C29</formula>
    </cfRule>
  </conditionalFormatting>
  <conditionalFormatting sqref="T40:T41">
    <cfRule type="expression" dxfId="24" priority="81" stopIfTrue="1">
      <formula>(T40+S40)&gt;C40</formula>
    </cfRule>
  </conditionalFormatting>
  <conditionalFormatting sqref="T43">
    <cfRule type="expression" dxfId="23" priority="77" stopIfTrue="1">
      <formula>(T43+S43)&gt;C43</formula>
    </cfRule>
  </conditionalFormatting>
  <conditionalFormatting sqref="T45:T52">
    <cfRule type="expression" dxfId="22" priority="59" stopIfTrue="1">
      <formula>(T45+S45)&gt;C45</formula>
    </cfRule>
  </conditionalFormatting>
  <conditionalFormatting sqref="T64:T68">
    <cfRule type="expression" dxfId="21" priority="57" stopIfTrue="1">
      <formula>(T64+S64)&gt;C64</formula>
    </cfRule>
  </conditionalFormatting>
  <conditionalFormatting sqref="T78:T79">
    <cfRule type="expression" dxfId="20" priority="53" stopIfTrue="1">
      <formula>(T78+S78)&gt;C78</formula>
    </cfRule>
  </conditionalFormatting>
  <conditionalFormatting sqref="T83:T86">
    <cfRule type="expression" dxfId="19" priority="43" stopIfTrue="1">
      <formula>(T83+S83)&gt;C83</formula>
    </cfRule>
  </conditionalFormatting>
  <conditionalFormatting sqref="T88:T94">
    <cfRule type="expression" dxfId="18" priority="25" stopIfTrue="1">
      <formula>(T88+S88)&gt;C88</formula>
    </cfRule>
  </conditionalFormatting>
  <conditionalFormatting sqref="T98:T102">
    <cfRule type="expression" dxfId="17"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8" workbookViewId="0">
      <selection activeCell="AB49" sqref="AB49:AF49"/>
    </sheetView>
  </sheetViews>
  <sheetFormatPr defaultColWidth="0" defaultRowHeight="13.35" customHeight="1"/>
  <cols>
    <col min="1" max="1" width="1.44140625" customWidth="1"/>
    <col min="2" max="2" width="0.71875" customWidth="1"/>
    <col min="3" max="18" width="2.44140625" customWidth="1"/>
    <col min="19" max="19" width="4" customWidth="1"/>
    <col min="20" max="24" width="2.71875" customWidth="1"/>
    <col min="25" max="28" width="2.44140625" customWidth="1"/>
    <col min="29" max="29" width="3.44140625" customWidth="1"/>
    <col min="30" max="34" width="2.71875" customWidth="1"/>
    <col min="35" max="39" width="2.44140625" customWidth="1"/>
    <col min="40" max="40" width="1.44140625" customWidth="1"/>
    <col min="41" max="43" width="2.44140625" customWidth="1"/>
    <col min="44" max="44" width="12.27734375" hidden="1" customWidth="1"/>
    <col min="45" max="16384" width="2.44140625" hidden="1"/>
  </cols>
  <sheetData>
    <row r="1" spans="1:40" ht="13.35" customHeight="1">
      <c r="A1" s="1532" t="s">
        <v>1797</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c r="AN1" s="1229"/>
    </row>
    <row r="2" spans="1:40" ht="13.35" customHeight="1" thickBo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row>
    <row r="3" spans="1:40" ht="13.3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35" customHeight="1">
      <c r="A5" s="3" t="s">
        <v>854</v>
      </c>
      <c r="C5" s="3" t="s">
        <v>267</v>
      </c>
      <c r="F5" s="3"/>
    </row>
    <row r="6" spans="1:40" ht="13.35" customHeight="1">
      <c r="B6" s="74" t="s">
        <v>1798</v>
      </c>
    </row>
    <row r="7" spans="1:40" ht="13.35" customHeight="1">
      <c r="B7" s="6"/>
      <c r="C7" s="7"/>
      <c r="D7" s="7"/>
      <c r="E7" s="7"/>
      <c r="F7" s="7"/>
      <c r="G7" s="7"/>
      <c r="H7" s="7"/>
      <c r="I7" s="7"/>
      <c r="J7" s="7"/>
      <c r="K7" s="7"/>
      <c r="L7" s="7"/>
      <c r="M7" s="7"/>
      <c r="N7" s="7"/>
      <c r="O7" s="7"/>
      <c r="P7" s="7"/>
      <c r="Q7" s="7"/>
      <c r="R7" s="7"/>
      <c r="S7" s="7"/>
      <c r="T7" s="1518" t="str">
        <f>IF(T25=100%,'Sources and Basis Breakdown'!G2,'Sources and Basis Breakdown'!F2)</f>
        <v>70% PVC for New Const/
Rehabilitation
DDA/QCT
Building(s)</v>
      </c>
      <c r="U7" s="1518"/>
      <c r="V7" s="1518"/>
      <c r="W7" s="1518"/>
      <c r="X7" s="1518"/>
      <c r="Y7" s="1518" t="str">
        <f>IF(T25=100%," ",'Sources and Basis Breakdown'!G2)</f>
        <v>70% PVC for New Const/
Rehabilitation
NON-DDA/
NON-QCT Building(s)</v>
      </c>
      <c r="Z7" s="1518"/>
      <c r="AA7" s="1518"/>
      <c r="AB7" s="1518"/>
      <c r="AC7" s="1518"/>
      <c r="AD7" s="1518" t="str">
        <f>IF(T25=100%,'Sources and Basis Breakdown'!J2,'Sources and Basis Breakdown'!I2)</f>
        <v>30% PVC for Acquisition
DDA/QCT Building(s)</v>
      </c>
      <c r="AE7" s="1518"/>
      <c r="AF7" s="1518"/>
      <c r="AG7" s="1518"/>
      <c r="AH7" s="1518"/>
      <c r="AI7" s="1518" t="str">
        <f>IF(T25=100%," ",'Sources and Basis Breakdown'!J2)</f>
        <v>30% PVC for Acquisition
NON-DDA/
NON-QCT Building(s)</v>
      </c>
      <c r="AJ7" s="1518"/>
      <c r="AK7" s="1518"/>
      <c r="AL7" s="1518"/>
      <c r="AM7" s="1518"/>
    </row>
    <row r="8" spans="1:40" ht="13.35" customHeight="1">
      <c r="B8" s="175"/>
      <c r="T8" s="1518"/>
      <c r="U8" s="1518"/>
      <c r="V8" s="1518"/>
      <c r="W8" s="1518"/>
      <c r="X8" s="1518"/>
      <c r="Y8" s="1518"/>
      <c r="Z8" s="1518"/>
      <c r="AA8" s="1518"/>
      <c r="AB8" s="1518"/>
      <c r="AC8" s="1518"/>
      <c r="AD8" s="1518"/>
      <c r="AE8" s="1518"/>
      <c r="AF8" s="1518"/>
      <c r="AG8" s="1518"/>
      <c r="AH8" s="1518"/>
      <c r="AI8" s="1518"/>
      <c r="AJ8" s="1518"/>
      <c r="AK8" s="1518"/>
      <c r="AL8" s="1518"/>
      <c r="AM8" s="1518"/>
    </row>
    <row r="9" spans="1:40" ht="13.35" customHeight="1">
      <c r="B9" s="175"/>
      <c r="T9" s="1518"/>
      <c r="U9" s="1518"/>
      <c r="V9" s="1518"/>
      <c r="W9" s="1518"/>
      <c r="X9" s="1518"/>
      <c r="Y9" s="1518"/>
      <c r="Z9" s="1518"/>
      <c r="AA9" s="1518"/>
      <c r="AB9" s="1518"/>
      <c r="AC9" s="1518"/>
      <c r="AD9" s="1518"/>
      <c r="AE9" s="1518"/>
      <c r="AF9" s="1518"/>
      <c r="AG9" s="1518"/>
      <c r="AH9" s="1518"/>
      <c r="AI9" s="1518"/>
      <c r="AJ9" s="1518"/>
      <c r="AK9" s="1518"/>
      <c r="AL9" s="1518"/>
      <c r="AM9" s="1518"/>
    </row>
    <row r="10" spans="1:40" ht="13.35" customHeight="1">
      <c r="B10" s="46"/>
      <c r="C10" s="47"/>
      <c r="D10" s="47"/>
      <c r="E10" s="47"/>
      <c r="F10" s="47"/>
      <c r="G10" s="47"/>
      <c r="H10" s="47"/>
      <c r="I10" s="47"/>
      <c r="J10" s="47"/>
      <c r="K10" s="47"/>
      <c r="L10" s="47"/>
      <c r="M10" s="47"/>
      <c r="N10" s="47"/>
      <c r="O10" s="47"/>
      <c r="P10" s="47"/>
      <c r="Q10" s="47"/>
      <c r="R10" s="47"/>
      <c r="S10" s="47"/>
      <c r="T10" s="1518"/>
      <c r="U10" s="1518"/>
      <c r="V10" s="1518"/>
      <c r="W10" s="1518"/>
      <c r="X10" s="1518"/>
      <c r="Y10" s="1518"/>
      <c r="Z10" s="1518"/>
      <c r="AA10" s="1518"/>
      <c r="AB10" s="1518"/>
      <c r="AC10" s="1518"/>
      <c r="AD10" s="1518"/>
      <c r="AE10" s="1518"/>
      <c r="AF10" s="1518"/>
      <c r="AG10" s="1518"/>
      <c r="AH10" s="1518"/>
      <c r="AI10" s="1518"/>
      <c r="AJ10" s="1518"/>
      <c r="AK10" s="1518"/>
      <c r="AL10" s="1518"/>
      <c r="AM10" s="1518"/>
    </row>
    <row r="11" spans="1:40" ht="13.35" customHeight="1">
      <c r="B11" s="1049" t="s">
        <v>1799</v>
      </c>
      <c r="C11" s="1050"/>
      <c r="D11" s="1050"/>
      <c r="E11" s="1050"/>
      <c r="F11" s="1050"/>
      <c r="G11" s="1050"/>
      <c r="H11" s="1050"/>
      <c r="I11" s="1050"/>
      <c r="J11" s="1050"/>
      <c r="K11" s="1050"/>
      <c r="L11" s="1050"/>
      <c r="M11" s="1050"/>
      <c r="N11" s="1050"/>
      <c r="O11" s="1050"/>
      <c r="P11" s="1050"/>
      <c r="Q11" s="1050"/>
      <c r="R11" s="1050"/>
      <c r="S11" s="1052"/>
      <c r="T11" s="1544">
        <f>IF('Sources and Basis Breakdown'!F105=0,'Sources and Basis Breakdown'!E105,'Sources and Basis Breakdown'!F105)</f>
        <v>19835850</v>
      </c>
      <c r="U11" s="1535"/>
      <c r="V11" s="1535"/>
      <c r="W11" s="1535"/>
      <c r="X11" s="1535"/>
      <c r="Y11" s="1534">
        <f>IF(Y7=" ",0,IF('Sources and Basis Breakdown'!G105+'Sources and Basis Breakdown'!F105='Sources and Basis Breakdown'!E105,'Sources and Basis Breakdown'!G105,0))</f>
        <v>0</v>
      </c>
      <c r="Z11" s="1535"/>
      <c r="AA11" s="1535"/>
      <c r="AB11" s="1535"/>
      <c r="AC11" s="1535"/>
      <c r="AD11" s="1535">
        <f>IF('Sources and Basis Breakdown'!I105=0,'Sources and Basis Breakdown'!H105,'Sources and Basis Breakdown'!I105)</f>
        <v>0</v>
      </c>
      <c r="AE11" s="1535"/>
      <c r="AF11" s="1535"/>
      <c r="AG11" s="1535"/>
      <c r="AH11" s="1535"/>
      <c r="AI11" s="1535">
        <f>IF(AI7=" ",0,IF('Sources and Basis Breakdown'!I105+'Sources and Basis Breakdown'!J105='Sources and Basis Breakdown'!H105,'Sources and Basis Breakdown'!J105,0))</f>
        <v>0</v>
      </c>
      <c r="AJ11" s="1535"/>
      <c r="AK11" s="1535"/>
      <c r="AL11" s="1535"/>
      <c r="AM11" s="1535"/>
    </row>
    <row r="12" spans="1:40" ht="13.35" customHeight="1">
      <c r="B12" s="1540" t="s">
        <v>1800</v>
      </c>
      <c r="C12" s="964"/>
      <c r="D12" s="964"/>
      <c r="E12" s="964"/>
      <c r="F12" s="964"/>
      <c r="G12" s="964"/>
      <c r="H12" s="964"/>
      <c r="I12" s="964"/>
      <c r="J12" s="964"/>
      <c r="K12" s="964"/>
      <c r="L12" s="964"/>
      <c r="M12" s="964"/>
      <c r="N12" s="964"/>
      <c r="O12" s="964"/>
      <c r="P12" s="964"/>
      <c r="Q12" s="964"/>
      <c r="R12" s="964"/>
      <c r="S12" s="1541"/>
      <c r="T12" s="1537"/>
      <c r="U12" s="1538"/>
      <c r="V12" s="1538"/>
      <c r="W12" s="1538"/>
      <c r="X12" s="1539"/>
      <c r="Y12" s="1537"/>
      <c r="Z12" s="1538"/>
      <c r="AA12" s="1538"/>
      <c r="AB12" s="1538"/>
      <c r="AC12" s="1539"/>
      <c r="AD12" s="1537"/>
      <c r="AE12" s="1538"/>
      <c r="AF12" s="1538"/>
      <c r="AG12" s="1538"/>
      <c r="AH12" s="1539"/>
      <c r="AI12" s="1537"/>
      <c r="AJ12" s="1538"/>
      <c r="AK12" s="1538"/>
      <c r="AL12" s="1538"/>
      <c r="AM12" s="1539"/>
    </row>
    <row r="13" spans="1:40" ht="13.35" customHeight="1">
      <c r="B13" s="8"/>
      <c r="C13" s="1542" t="s">
        <v>1801</v>
      </c>
      <c r="D13" s="1542"/>
      <c r="E13" s="1542"/>
      <c r="F13" s="1542"/>
      <c r="G13" s="1542"/>
      <c r="H13" s="1542"/>
      <c r="I13" s="1542"/>
      <c r="J13" s="1542"/>
      <c r="K13" s="1542"/>
      <c r="L13" s="1542"/>
      <c r="M13" s="1542"/>
      <c r="N13" s="1542"/>
      <c r="O13" s="1542"/>
      <c r="P13" s="1542"/>
      <c r="Q13" s="1542"/>
      <c r="R13" s="1542"/>
      <c r="S13" s="1543"/>
      <c r="T13" s="1536"/>
      <c r="U13" s="1533"/>
      <c r="V13" s="1533"/>
      <c r="W13" s="1533"/>
      <c r="X13" s="1533"/>
      <c r="Y13" s="1536"/>
      <c r="Z13" s="1533"/>
      <c r="AA13" s="1533"/>
      <c r="AB13" s="1533"/>
      <c r="AC13" s="1533"/>
      <c r="AD13" s="1533"/>
      <c r="AE13" s="1533"/>
      <c r="AF13" s="1533"/>
      <c r="AG13" s="1533"/>
      <c r="AH13" s="1533"/>
      <c r="AI13" s="1533"/>
      <c r="AJ13" s="1533"/>
      <c r="AK13" s="1533"/>
      <c r="AL13" s="1533"/>
      <c r="AM13" s="1533"/>
    </row>
    <row r="14" spans="1:40" ht="13.35" customHeight="1">
      <c r="B14" s="8"/>
      <c r="C14" s="1542" t="s">
        <v>1802</v>
      </c>
      <c r="D14" s="1542"/>
      <c r="E14" s="1542"/>
      <c r="F14" s="1542"/>
      <c r="G14" s="1542"/>
      <c r="H14" s="1542"/>
      <c r="I14" s="1542"/>
      <c r="J14" s="1542"/>
      <c r="K14" s="1542"/>
      <c r="L14" s="1542"/>
      <c r="M14" s="1542"/>
      <c r="N14" s="1542"/>
      <c r="O14" s="1542"/>
      <c r="P14" s="1542"/>
      <c r="Q14" s="1542"/>
      <c r="R14" s="1542"/>
      <c r="S14" s="1543"/>
      <c r="T14" s="1020"/>
      <c r="U14" s="1191"/>
      <c r="V14" s="1191"/>
      <c r="W14" s="1191"/>
      <c r="X14" s="1191"/>
      <c r="Y14" s="1020"/>
      <c r="Z14" s="1191"/>
      <c r="AA14" s="1191"/>
      <c r="AB14" s="1191"/>
      <c r="AC14" s="1191"/>
      <c r="AD14" s="1191"/>
      <c r="AE14" s="1191"/>
      <c r="AF14" s="1191"/>
      <c r="AG14" s="1191"/>
      <c r="AH14" s="1191"/>
      <c r="AI14" s="1191"/>
      <c r="AJ14" s="1191"/>
      <c r="AK14" s="1191"/>
      <c r="AL14" s="1191"/>
      <c r="AM14" s="1191"/>
    </row>
    <row r="15" spans="1:40" ht="13.35" customHeight="1">
      <c r="B15" s="8"/>
      <c r="C15" s="1542" t="s">
        <v>1803</v>
      </c>
      <c r="D15" s="1542"/>
      <c r="E15" s="1542"/>
      <c r="F15" s="1542"/>
      <c r="G15" s="1542"/>
      <c r="H15" s="1542"/>
      <c r="I15" s="1542"/>
      <c r="J15" s="1542"/>
      <c r="K15" s="1542"/>
      <c r="L15" s="1542"/>
      <c r="M15" s="1542"/>
      <c r="N15" s="1542"/>
      <c r="O15" s="1542"/>
      <c r="P15" s="1542"/>
      <c r="Q15" s="1542"/>
      <c r="R15" s="1542"/>
      <c r="S15" s="1543"/>
      <c r="T15" s="1020"/>
      <c r="U15" s="1191"/>
      <c r="V15" s="1191"/>
      <c r="W15" s="1191"/>
      <c r="X15" s="1191"/>
      <c r="Y15" s="1020"/>
      <c r="Z15" s="1191"/>
      <c r="AA15" s="1191"/>
      <c r="AB15" s="1191"/>
      <c r="AC15" s="1191"/>
      <c r="AD15" s="1191"/>
      <c r="AE15" s="1191"/>
      <c r="AF15" s="1191"/>
      <c r="AG15" s="1191"/>
      <c r="AH15" s="1191"/>
      <c r="AI15" s="1191"/>
      <c r="AJ15" s="1191"/>
      <c r="AK15" s="1191"/>
      <c r="AL15" s="1191"/>
      <c r="AM15" s="1191"/>
    </row>
    <row r="16" spans="1:40" ht="13.35" customHeight="1">
      <c r="B16" s="8"/>
      <c r="C16" s="1542" t="s">
        <v>1804</v>
      </c>
      <c r="D16" s="1542"/>
      <c r="E16" s="1542"/>
      <c r="F16" s="1542"/>
      <c r="G16" s="1542"/>
      <c r="H16" s="1542"/>
      <c r="I16" s="1542"/>
      <c r="J16" s="1542"/>
      <c r="K16" s="1542"/>
      <c r="L16" s="1542"/>
      <c r="M16" s="1542"/>
      <c r="N16" s="1542"/>
      <c r="O16" s="1542"/>
      <c r="P16" s="1542"/>
      <c r="Q16" s="1542"/>
      <c r="R16" s="1542"/>
      <c r="S16" s="1543"/>
      <c r="T16" s="1020"/>
      <c r="U16" s="1191"/>
      <c r="V16" s="1191"/>
      <c r="W16" s="1191"/>
      <c r="X16" s="1191"/>
      <c r="Y16" s="1020"/>
      <c r="Z16" s="1191"/>
      <c r="AA16" s="1191"/>
      <c r="AB16" s="1191"/>
      <c r="AC16" s="1191"/>
      <c r="AD16" s="1191"/>
      <c r="AE16" s="1191"/>
      <c r="AF16" s="1191"/>
      <c r="AG16" s="1191"/>
      <c r="AH16" s="1191"/>
      <c r="AI16" s="1191"/>
      <c r="AJ16" s="1191"/>
      <c r="AK16" s="1191"/>
      <c r="AL16" s="1191"/>
      <c r="AM16" s="1191"/>
    </row>
    <row r="17" spans="1:39" ht="13.35" customHeight="1">
      <c r="B17" s="8"/>
      <c r="C17" s="1542" t="s">
        <v>1805</v>
      </c>
      <c r="D17" s="1542"/>
      <c r="E17" s="1542"/>
      <c r="F17" s="1542"/>
      <c r="G17" s="1542"/>
      <c r="H17" s="1542"/>
      <c r="I17" s="1542"/>
      <c r="J17" s="1542"/>
      <c r="K17" s="1542"/>
      <c r="L17" s="1542"/>
      <c r="M17" s="1542"/>
      <c r="N17" s="1542"/>
      <c r="O17" s="1542"/>
      <c r="P17" s="1542"/>
      <c r="Q17" s="1542"/>
      <c r="R17" s="1542"/>
      <c r="S17" s="1543"/>
      <c r="T17" s="1020"/>
      <c r="U17" s="1191"/>
      <c r="V17" s="1191"/>
      <c r="W17" s="1191"/>
      <c r="X17" s="1191"/>
      <c r="Y17" s="1020"/>
      <c r="Z17" s="1191"/>
      <c r="AA17" s="1191"/>
      <c r="AB17" s="1191"/>
      <c r="AC17" s="1191"/>
      <c r="AD17" s="1191"/>
      <c r="AE17" s="1191"/>
      <c r="AF17" s="1191"/>
      <c r="AG17" s="1191"/>
      <c r="AH17" s="1191"/>
      <c r="AI17" s="1191"/>
      <c r="AJ17" s="1191"/>
      <c r="AK17" s="1191"/>
      <c r="AL17" s="1191"/>
      <c r="AM17" s="1191"/>
    </row>
    <row r="18" spans="1:39" ht="13.35" customHeight="1">
      <c r="B18" s="846"/>
      <c r="C18" s="1264" t="s">
        <v>1806</v>
      </c>
      <c r="D18" s="1264"/>
      <c r="E18" s="1264"/>
      <c r="F18" s="1264"/>
      <c r="G18" s="1264"/>
      <c r="H18" s="1264"/>
      <c r="I18" s="1264"/>
      <c r="J18" s="1264"/>
      <c r="K18" s="1264"/>
      <c r="L18" s="1264"/>
      <c r="M18" s="1264"/>
      <c r="N18" s="1264"/>
      <c r="O18" s="1264"/>
      <c r="P18" s="1264"/>
      <c r="Q18" s="1264"/>
      <c r="R18" s="1264"/>
      <c r="S18" s="1265"/>
      <c r="T18" s="1018"/>
      <c r="U18" s="1019"/>
      <c r="V18" s="1019"/>
      <c r="W18" s="1019"/>
      <c r="X18" s="1020"/>
      <c r="Y18" s="1020"/>
      <c r="Z18" s="1191"/>
      <c r="AA18" s="1191"/>
      <c r="AB18" s="1191"/>
      <c r="AC18" s="1191"/>
      <c r="AD18" s="1191"/>
      <c r="AE18" s="1191"/>
      <c r="AF18" s="1191"/>
      <c r="AG18" s="1191"/>
      <c r="AH18" s="1191"/>
      <c r="AI18" s="1191"/>
      <c r="AJ18" s="1191"/>
      <c r="AK18" s="1191"/>
      <c r="AL18" s="1191"/>
      <c r="AM18" s="1191"/>
    </row>
    <row r="19" spans="1:39" ht="13.35" customHeight="1">
      <c r="B19" s="409"/>
      <c r="C19" s="1264" t="s">
        <v>1806</v>
      </c>
      <c r="D19" s="1264"/>
      <c r="E19" s="1264"/>
      <c r="F19" s="1264"/>
      <c r="G19" s="1264"/>
      <c r="H19" s="1264"/>
      <c r="I19" s="1264"/>
      <c r="J19" s="1264"/>
      <c r="K19" s="1264"/>
      <c r="L19" s="1264"/>
      <c r="M19" s="1264"/>
      <c r="N19" s="1264"/>
      <c r="O19" s="1264"/>
      <c r="P19" s="1264"/>
      <c r="Q19" s="1264"/>
      <c r="R19" s="1264"/>
      <c r="S19" s="1265"/>
      <c r="T19" s="1020"/>
      <c r="U19" s="1191"/>
      <c r="V19" s="1191"/>
      <c r="W19" s="1191"/>
      <c r="X19" s="1191"/>
      <c r="Y19" s="1020"/>
      <c r="Z19" s="1191"/>
      <c r="AA19" s="1191"/>
      <c r="AB19" s="1191"/>
      <c r="AC19" s="1191"/>
      <c r="AD19" s="1191"/>
      <c r="AE19" s="1191"/>
      <c r="AF19" s="1191"/>
      <c r="AG19" s="1191"/>
      <c r="AH19" s="1191"/>
      <c r="AI19" s="1191"/>
      <c r="AJ19" s="1191"/>
      <c r="AK19" s="1191"/>
      <c r="AL19" s="1191"/>
      <c r="AM19" s="1191"/>
    </row>
    <row r="20" spans="1:39" ht="13.35" customHeight="1">
      <c r="B20" s="1049" t="s">
        <v>1807</v>
      </c>
      <c r="C20" s="1050"/>
      <c r="D20" s="1050"/>
      <c r="E20" s="1050"/>
      <c r="F20" s="1050"/>
      <c r="G20" s="1050"/>
      <c r="H20" s="1050"/>
      <c r="I20" s="1050"/>
      <c r="J20" s="1050"/>
      <c r="K20" s="1050"/>
      <c r="L20" s="1050"/>
      <c r="M20" s="1050"/>
      <c r="N20" s="1050"/>
      <c r="O20" s="1050"/>
      <c r="P20" s="1050"/>
      <c r="Q20" s="1050"/>
      <c r="R20" s="1050"/>
      <c r="S20" s="1052"/>
      <c r="T20" s="1515">
        <f>SUM(T13:X19)</f>
        <v>0</v>
      </c>
      <c r="U20" s="1251"/>
      <c r="V20" s="1251"/>
      <c r="W20" s="1251"/>
      <c r="X20" s="1251"/>
      <c r="Y20" s="1515">
        <f>SUM(Y13:AC19)</f>
        <v>0</v>
      </c>
      <c r="Z20" s="1251"/>
      <c r="AA20" s="1251"/>
      <c r="AB20" s="1251"/>
      <c r="AC20" s="1251"/>
      <c r="AD20" s="1251">
        <f>SUM(AD13:AH19)</f>
        <v>0</v>
      </c>
      <c r="AE20" s="1251"/>
      <c r="AF20" s="1251"/>
      <c r="AG20" s="1251"/>
      <c r="AH20" s="1251"/>
      <c r="AI20" s="1251">
        <f>SUM(AI13:AM19)</f>
        <v>0</v>
      </c>
      <c r="AJ20" s="1251"/>
      <c r="AK20" s="1251"/>
      <c r="AL20" s="1251"/>
      <c r="AM20" s="1251"/>
    </row>
    <row r="21" spans="1:39" ht="13.35" customHeight="1">
      <c r="B21" s="1049" t="s">
        <v>1808</v>
      </c>
      <c r="C21" s="1050"/>
      <c r="D21" s="1050"/>
      <c r="E21" s="1050"/>
      <c r="F21" s="1050"/>
      <c r="G21" s="1050"/>
      <c r="H21" s="1050"/>
      <c r="I21" s="1050"/>
      <c r="J21" s="1050"/>
      <c r="K21" s="1050"/>
      <c r="L21" s="1050"/>
      <c r="M21" s="1050"/>
      <c r="N21" s="1050"/>
      <c r="O21" s="1050"/>
      <c r="P21" s="1050"/>
      <c r="Q21" s="1050"/>
      <c r="R21" s="1050"/>
      <c r="S21" s="1052"/>
      <c r="T21" s="1020">
        <v>4863879</v>
      </c>
      <c r="U21" s="1191"/>
      <c r="V21" s="1191"/>
      <c r="W21" s="1191"/>
      <c r="X21" s="1191"/>
      <c r="Y21" s="1020"/>
      <c r="Z21" s="1191"/>
      <c r="AA21" s="1191"/>
      <c r="AB21" s="1191"/>
      <c r="AC21" s="1191"/>
      <c r="AD21" s="1191"/>
      <c r="AE21" s="1191"/>
      <c r="AF21" s="1191"/>
      <c r="AG21" s="1191"/>
      <c r="AH21" s="1191"/>
      <c r="AI21" s="1018"/>
      <c r="AJ21" s="1019"/>
      <c r="AK21" s="1019"/>
      <c r="AL21" s="1019"/>
      <c r="AM21" s="1020"/>
    </row>
    <row r="22" spans="1:39" ht="13.35" customHeight="1">
      <c r="B22" s="1049" t="s">
        <v>1809</v>
      </c>
      <c r="C22" s="1050"/>
      <c r="D22" s="1050"/>
      <c r="E22" s="1050"/>
      <c r="F22" s="1050"/>
      <c r="G22" s="1050"/>
      <c r="H22" s="1050"/>
      <c r="I22" s="1050"/>
      <c r="J22" s="1050"/>
      <c r="K22" s="1050"/>
      <c r="L22" s="1050"/>
      <c r="M22" s="1050"/>
      <c r="N22" s="1050"/>
      <c r="O22" s="1050"/>
      <c r="P22" s="1050"/>
      <c r="Q22" s="1050"/>
      <c r="R22" s="1050"/>
      <c r="S22" s="1052"/>
      <c r="T22" s="1545">
        <f>(T20+T21)*-1</f>
        <v>-4863879</v>
      </c>
      <c r="U22" s="1546"/>
      <c r="V22" s="1546"/>
      <c r="W22" s="1546"/>
      <c r="X22" s="1546"/>
      <c r="Y22" s="1545">
        <f>(Y20+Y21)*-1</f>
        <v>0</v>
      </c>
      <c r="Z22" s="1546"/>
      <c r="AA22" s="1546"/>
      <c r="AB22" s="1546"/>
      <c r="AC22" s="1546"/>
      <c r="AD22" s="1545">
        <f>(AD20+AD21)*-1</f>
        <v>0</v>
      </c>
      <c r="AE22" s="1546"/>
      <c r="AF22" s="1546"/>
      <c r="AG22" s="1546"/>
      <c r="AH22" s="1546"/>
      <c r="AI22" s="1552">
        <f>(AI20+AI21)*-1</f>
        <v>0</v>
      </c>
      <c r="AJ22" s="1553"/>
      <c r="AK22" s="1553"/>
      <c r="AL22" s="1553"/>
      <c r="AM22" s="1545"/>
    </row>
    <row r="23" spans="1:39" ht="13.35" customHeight="1">
      <c r="B23" s="1049" t="s">
        <v>1810</v>
      </c>
      <c r="C23" s="1050"/>
      <c r="D23" s="1050"/>
      <c r="E23" s="1050"/>
      <c r="F23" s="1050"/>
      <c r="G23" s="1050"/>
      <c r="H23" s="1050"/>
      <c r="I23" s="1050"/>
      <c r="J23" s="1050"/>
      <c r="K23" s="1050"/>
      <c r="L23" s="1050"/>
      <c r="M23" s="1050"/>
      <c r="N23" s="1050"/>
      <c r="O23" s="1050"/>
      <c r="P23" s="1050"/>
      <c r="Q23" s="1050"/>
      <c r="R23" s="1050"/>
      <c r="S23" s="1052"/>
      <c r="T23" s="1515">
        <f>T11+T22</f>
        <v>14971971</v>
      </c>
      <c r="U23" s="1251"/>
      <c r="V23" s="1251"/>
      <c r="W23" s="1251"/>
      <c r="X23" s="1251"/>
      <c r="Y23" s="1515">
        <f>Y11+Y22</f>
        <v>0</v>
      </c>
      <c r="Z23" s="1251"/>
      <c r="AA23" s="1251"/>
      <c r="AB23" s="1251"/>
      <c r="AC23" s="1251"/>
      <c r="AD23" s="1515">
        <f>IF(AD11=AD21,0,AD11)</f>
        <v>0</v>
      </c>
      <c r="AE23" s="1251"/>
      <c r="AF23" s="1251"/>
      <c r="AG23" s="1251"/>
      <c r="AH23" s="1251"/>
      <c r="AI23" s="1515">
        <f>IF(AI11=AI21,0,AI11)</f>
        <v>0</v>
      </c>
      <c r="AJ23" s="1251"/>
      <c r="AK23" s="1251"/>
      <c r="AL23" s="1251"/>
      <c r="AM23" s="1251"/>
    </row>
    <row r="24" spans="1:39" ht="13.35" customHeight="1">
      <c r="B24" s="1049" t="s">
        <v>1811</v>
      </c>
      <c r="C24" s="1050"/>
      <c r="D24" s="1050"/>
      <c r="E24" s="1050"/>
      <c r="F24" s="1050"/>
      <c r="G24" s="1050"/>
      <c r="H24" s="1050"/>
      <c r="I24" s="1050"/>
      <c r="J24" s="1050"/>
      <c r="K24" s="1050"/>
      <c r="L24" s="1050"/>
      <c r="M24" s="1050"/>
      <c r="N24" s="1050"/>
      <c r="O24" s="1050"/>
      <c r="P24" s="1050"/>
      <c r="Q24" s="1050"/>
      <c r="R24" s="1050"/>
      <c r="S24" s="1052"/>
      <c r="T24" s="1516">
        <f>Application!AJ988</f>
        <v>27203485</v>
      </c>
      <c r="U24" s="1517"/>
      <c r="V24" s="1517"/>
      <c r="W24" s="1517"/>
      <c r="X24" s="1517"/>
      <c r="Y24" s="1517"/>
      <c r="Z24" s="1517"/>
      <c r="AA24" s="1517"/>
      <c r="AB24" s="1517"/>
      <c r="AC24" s="1517"/>
      <c r="AD24" s="1517"/>
      <c r="AE24" s="1517"/>
      <c r="AF24" s="1517"/>
      <c r="AG24" s="1517"/>
      <c r="AH24" s="1517"/>
      <c r="AI24" s="1517"/>
      <c r="AJ24" s="1517"/>
      <c r="AK24" s="1517"/>
      <c r="AL24" s="1517"/>
      <c r="AM24" s="1515"/>
    </row>
    <row r="25" spans="1:39" ht="13.35" customHeight="1">
      <c r="B25" s="1554" t="s">
        <v>1812</v>
      </c>
      <c r="C25" s="1555"/>
      <c r="D25" s="1555"/>
      <c r="E25" s="1555"/>
      <c r="F25" s="1555"/>
      <c r="G25" s="1555"/>
      <c r="H25" s="1555"/>
      <c r="I25" s="1555"/>
      <c r="J25" s="1555"/>
      <c r="K25" s="1555"/>
      <c r="L25" s="1555"/>
      <c r="M25" s="1555"/>
      <c r="N25" s="1555"/>
      <c r="O25" s="1555"/>
      <c r="P25" s="1555"/>
      <c r="Q25" s="1555"/>
      <c r="R25" s="1555"/>
      <c r="S25" s="1556"/>
      <c r="T25" s="1547">
        <f>IF(OR(AND(Application!T193="no",Application!T194="no",Application!T196="no",Application!Y211="no"),Application!T195="yes"),1,1.3)</f>
        <v>1.3</v>
      </c>
      <c r="U25" s="1548"/>
      <c r="V25" s="1548"/>
      <c r="W25" s="1548"/>
      <c r="X25" s="1548"/>
      <c r="Y25" s="1547">
        <v>1</v>
      </c>
      <c r="Z25" s="1548"/>
      <c r="AA25" s="1548"/>
      <c r="AB25" s="1548"/>
      <c r="AC25" s="1551"/>
      <c r="AD25" s="1547">
        <v>1</v>
      </c>
      <c r="AE25" s="1548"/>
      <c r="AF25" s="1548"/>
      <c r="AG25" s="1548"/>
      <c r="AH25" s="1551"/>
      <c r="AI25" s="1547">
        <v>1</v>
      </c>
      <c r="AJ25" s="1548"/>
      <c r="AK25" s="1548"/>
      <c r="AL25" s="1548"/>
      <c r="AM25" s="1551"/>
    </row>
    <row r="26" spans="1:39" ht="13.35" customHeight="1">
      <c r="B26" s="1049" t="s">
        <v>1813</v>
      </c>
      <c r="C26" s="1050"/>
      <c r="D26" s="1050"/>
      <c r="E26" s="1050"/>
      <c r="F26" s="1050"/>
      <c r="G26" s="1050"/>
      <c r="H26" s="1050"/>
      <c r="I26" s="1050"/>
      <c r="J26" s="1050"/>
      <c r="K26" s="1050"/>
      <c r="L26" s="1050"/>
      <c r="M26" s="1050"/>
      <c r="N26" s="1050"/>
      <c r="O26" s="1050"/>
      <c r="P26" s="1050"/>
      <c r="Q26" s="1050"/>
      <c r="R26" s="1050"/>
      <c r="S26" s="1052"/>
      <c r="T26" s="1187">
        <f>T23*T25</f>
        <v>19463562.300000001</v>
      </c>
      <c r="U26" s="1370"/>
      <c r="V26" s="1370"/>
      <c r="W26" s="1370"/>
      <c r="X26" s="1370"/>
      <c r="Y26" s="1187">
        <f>Y23*Y25</f>
        <v>0</v>
      </c>
      <c r="Z26" s="1370"/>
      <c r="AA26" s="1370"/>
      <c r="AB26" s="1370"/>
      <c r="AC26" s="1370"/>
      <c r="AD26" s="1187">
        <f>AD23*AD25</f>
        <v>0</v>
      </c>
      <c r="AE26" s="1370"/>
      <c r="AF26" s="1370"/>
      <c r="AG26" s="1370"/>
      <c r="AH26" s="1370"/>
      <c r="AI26" s="1187">
        <f>AI23*AI25</f>
        <v>0</v>
      </c>
      <c r="AJ26" s="1370"/>
      <c r="AK26" s="1370"/>
      <c r="AL26" s="1370"/>
      <c r="AM26" s="1370"/>
    </row>
    <row r="27" spans="1:39" ht="13.35" customHeight="1">
      <c r="A27" s="4"/>
      <c r="B27" s="1554" t="s">
        <v>1814</v>
      </c>
      <c r="C27" s="1555"/>
      <c r="D27" s="1555"/>
      <c r="E27" s="1555"/>
      <c r="F27" s="1555"/>
      <c r="G27" s="1555"/>
      <c r="H27" s="1555"/>
      <c r="I27" s="1555"/>
      <c r="J27" s="1555"/>
      <c r="K27" s="1555"/>
      <c r="L27" s="1555"/>
      <c r="M27" s="1555"/>
      <c r="N27" s="1555"/>
      <c r="O27" s="1555"/>
      <c r="P27" s="1555"/>
      <c r="Q27" s="1555"/>
      <c r="R27" s="1555"/>
      <c r="S27" s="1556"/>
      <c r="T27" s="1549">
        <f>Application!AG438</f>
        <v>1</v>
      </c>
      <c r="U27" s="1550"/>
      <c r="V27" s="1550"/>
      <c r="W27" s="1550"/>
      <c r="X27" s="1550"/>
      <c r="Y27" s="1549">
        <f>Application!AG438</f>
        <v>1</v>
      </c>
      <c r="Z27" s="1550"/>
      <c r="AA27" s="1550"/>
      <c r="AB27" s="1550"/>
      <c r="AC27" s="1550"/>
      <c r="AD27" s="1549">
        <f>Application!AG438</f>
        <v>1</v>
      </c>
      <c r="AE27" s="1550"/>
      <c r="AF27" s="1550"/>
      <c r="AG27" s="1550"/>
      <c r="AH27" s="1550"/>
      <c r="AI27" s="1549">
        <f>Application!AG438</f>
        <v>1</v>
      </c>
      <c r="AJ27" s="1550"/>
      <c r="AK27" s="1550"/>
      <c r="AL27" s="1550"/>
      <c r="AM27" s="1550"/>
    </row>
    <row r="28" spans="1:39" ht="13.35" customHeight="1">
      <c r="A28" s="3"/>
      <c r="B28" s="1049" t="s">
        <v>1815</v>
      </c>
      <c r="C28" s="1050"/>
      <c r="D28" s="1050"/>
      <c r="E28" s="1050"/>
      <c r="F28" s="1050"/>
      <c r="G28" s="1050"/>
      <c r="H28" s="1050"/>
      <c r="I28" s="1050"/>
      <c r="J28" s="1050"/>
      <c r="K28" s="1050"/>
      <c r="L28" s="1050"/>
      <c r="M28" s="1050"/>
      <c r="N28" s="1050"/>
      <c r="O28" s="1050"/>
      <c r="P28" s="1050"/>
      <c r="Q28" s="1050"/>
      <c r="R28" s="1050"/>
      <c r="S28" s="1052"/>
      <c r="T28" s="1187">
        <f>IF(ISERROR((T26*T27)),0,(T26*T27))</f>
        <v>19463562.300000001</v>
      </c>
      <c r="U28" s="1370"/>
      <c r="V28" s="1370"/>
      <c r="W28" s="1370"/>
      <c r="X28" s="1370"/>
      <c r="Y28" s="1187">
        <f>IF(ISERROR((Y26*Y27)),0,(Y26*Y27))</f>
        <v>0</v>
      </c>
      <c r="Z28" s="1370"/>
      <c r="AA28" s="1370"/>
      <c r="AB28" s="1370"/>
      <c r="AC28" s="1370"/>
      <c r="AD28" s="1187">
        <f>IF(ISERROR((AD26*AD27)),0,(AD26*AD27))</f>
        <v>0</v>
      </c>
      <c r="AE28" s="1370"/>
      <c r="AF28" s="1370"/>
      <c r="AG28" s="1370"/>
      <c r="AH28" s="1370"/>
      <c r="AI28" s="1187">
        <f>IF(ISERROR((AI26*AI27)),0,(AI26*AI27))</f>
        <v>0</v>
      </c>
      <c r="AJ28" s="1370"/>
      <c r="AK28" s="1370"/>
      <c r="AL28" s="1370"/>
      <c r="AM28" s="1370"/>
    </row>
    <row r="29" spans="1:39" ht="13.35" customHeight="1">
      <c r="B29" s="1049" t="s">
        <v>1816</v>
      </c>
      <c r="C29" s="1050"/>
      <c r="D29" s="1050"/>
      <c r="E29" s="1050"/>
      <c r="F29" s="1050"/>
      <c r="G29" s="1050"/>
      <c r="H29" s="1050"/>
      <c r="I29" s="1050"/>
      <c r="J29" s="1050"/>
      <c r="K29" s="1050"/>
      <c r="L29" s="1050"/>
      <c r="M29" s="1050"/>
      <c r="N29" s="1050"/>
      <c r="O29" s="1050"/>
      <c r="P29" s="1050"/>
      <c r="Q29" s="1050"/>
      <c r="R29" s="1050"/>
      <c r="S29" s="1052"/>
      <c r="T29" s="1516">
        <f>T28+Y28+AD28+AI28</f>
        <v>19463562.300000001</v>
      </c>
      <c r="U29" s="1517"/>
      <c r="V29" s="1517"/>
      <c r="W29" s="1517"/>
      <c r="X29" s="1517"/>
      <c r="Y29" s="1517"/>
      <c r="Z29" s="1517"/>
      <c r="AA29" s="1517"/>
      <c r="AB29" s="1517"/>
      <c r="AC29" s="1517"/>
      <c r="AD29" s="1517"/>
      <c r="AE29" s="1517"/>
      <c r="AF29" s="1517"/>
      <c r="AG29" s="1517"/>
      <c r="AH29" s="1517"/>
      <c r="AI29" s="1517"/>
      <c r="AJ29" s="1517"/>
      <c r="AK29" s="1517"/>
      <c r="AL29" s="1517"/>
      <c r="AM29" s="1515"/>
    </row>
    <row r="30" spans="1:39" ht="13.35" customHeight="1">
      <c r="B30" s="1531" t="s">
        <v>1817</v>
      </c>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row>
    <row r="31" spans="1:39" ht="13.35" customHeight="1">
      <c r="B31" s="1510" t="s">
        <v>1818</v>
      </c>
      <c r="C31" s="1510"/>
      <c r="D31" s="1510"/>
      <c r="E31" s="1510"/>
      <c r="F31" s="1510"/>
      <c r="G31" s="1510"/>
      <c r="H31" s="1510"/>
      <c r="I31" s="1510"/>
      <c r="J31" s="1510"/>
      <c r="K31" s="1510"/>
      <c r="L31" s="1510"/>
      <c r="M31" s="1510"/>
      <c r="N31" s="1510"/>
      <c r="O31" s="1510"/>
      <c r="P31" s="1510"/>
      <c r="Q31" s="1510"/>
      <c r="R31" s="1510"/>
      <c r="S31" s="1510"/>
      <c r="T31" s="1510"/>
      <c r="U31" s="1510"/>
      <c r="V31" s="1510"/>
      <c r="W31" s="1510"/>
      <c r="X31" s="1510"/>
      <c r="Y31" s="1510"/>
      <c r="Z31" s="1510"/>
      <c r="AA31" s="1510"/>
      <c r="AB31" s="1510"/>
      <c r="AC31" s="1510"/>
      <c r="AD31" s="1510"/>
      <c r="AE31" s="1510"/>
      <c r="AF31" s="1510"/>
      <c r="AG31" s="1510"/>
      <c r="AH31" s="1510"/>
      <c r="AI31" s="1510"/>
      <c r="AJ31" s="1510"/>
      <c r="AK31" s="1510"/>
      <c r="AL31" s="1510"/>
      <c r="AM31" s="1510"/>
    </row>
    <row r="33" spans="1:44" ht="13.35" customHeight="1">
      <c r="C33" s="4"/>
      <c r="X33" s="55"/>
      <c r="Y33" s="159"/>
      <c r="Z33" s="159"/>
      <c r="AA33" s="159"/>
      <c r="AB33" s="159"/>
      <c r="AC33" s="159"/>
      <c r="AD33" s="159"/>
      <c r="AE33" s="159"/>
      <c r="AF33" s="159"/>
      <c r="AG33" s="159"/>
      <c r="AH33" s="159"/>
    </row>
    <row r="34" spans="1:44" ht="13.35" customHeight="1">
      <c r="A34" s="3" t="s">
        <v>889</v>
      </c>
      <c r="C34" s="3" t="s">
        <v>276</v>
      </c>
    </row>
    <row r="35" spans="1:44" ht="13.35" customHeight="1">
      <c r="B35" s="6"/>
      <c r="C35" s="7"/>
      <c r="D35" s="7"/>
      <c r="E35" s="7"/>
      <c r="F35" s="7"/>
      <c r="G35" s="7"/>
      <c r="H35" s="7"/>
      <c r="I35" s="7"/>
      <c r="J35" s="7"/>
      <c r="K35" s="7"/>
      <c r="L35" s="7"/>
      <c r="M35" s="7"/>
      <c r="N35" s="7"/>
      <c r="O35" s="7"/>
      <c r="P35" s="7"/>
      <c r="Q35" s="7"/>
      <c r="R35" s="7"/>
      <c r="S35" s="7"/>
      <c r="T35" s="7"/>
      <c r="U35" s="7"/>
      <c r="V35" s="7"/>
      <c r="W35" s="7"/>
      <c r="X35" s="57"/>
      <c r="Y35" s="1518" t="s">
        <v>1819</v>
      </c>
      <c r="Z35" s="1518"/>
      <c r="AA35" s="1518"/>
      <c r="AB35" s="1518"/>
      <c r="AC35" s="1518"/>
      <c r="AD35" s="1177" t="s">
        <v>1820</v>
      </c>
      <c r="AE35" s="1177"/>
      <c r="AF35" s="1177"/>
      <c r="AG35" s="1177"/>
      <c r="AH35" s="1177"/>
    </row>
    <row r="36" spans="1:44" ht="13.35" customHeight="1">
      <c r="B36" s="175"/>
      <c r="X36" s="63"/>
      <c r="Y36" s="1518"/>
      <c r="Z36" s="1518"/>
      <c r="AA36" s="1518"/>
      <c r="AB36" s="1518"/>
      <c r="AC36" s="1518"/>
      <c r="AD36" s="1177"/>
      <c r="AE36" s="1177"/>
      <c r="AF36" s="1177"/>
      <c r="AG36" s="1177"/>
      <c r="AH36" s="1177"/>
    </row>
    <row r="37" spans="1:44" ht="13.35" customHeight="1">
      <c r="B37" s="46"/>
      <c r="C37" s="47"/>
      <c r="D37" s="47"/>
      <c r="E37" s="47"/>
      <c r="F37" s="47"/>
      <c r="G37" s="47"/>
      <c r="H37" s="47"/>
      <c r="I37" s="47"/>
      <c r="J37" s="47"/>
      <c r="K37" s="47"/>
      <c r="L37" s="47"/>
      <c r="M37" s="47"/>
      <c r="N37" s="47"/>
      <c r="O37" s="47"/>
      <c r="P37" s="47"/>
      <c r="Q37" s="47"/>
      <c r="R37" s="47"/>
      <c r="S37" s="47"/>
      <c r="T37" s="47"/>
      <c r="U37" s="47"/>
      <c r="V37" s="47"/>
      <c r="W37" s="47"/>
      <c r="X37" s="48"/>
      <c r="Y37" s="1518"/>
      <c r="Z37" s="1518"/>
      <c r="AA37" s="1518"/>
      <c r="AB37" s="1518"/>
      <c r="AC37" s="1518"/>
      <c r="AD37" s="1177"/>
      <c r="AE37" s="1177"/>
      <c r="AF37" s="1177"/>
      <c r="AG37" s="1177"/>
      <c r="AH37" s="1177"/>
    </row>
    <row r="38" spans="1:44" ht="13.35" customHeight="1">
      <c r="A38" s="3"/>
      <c r="B38" s="1049" t="s">
        <v>1815</v>
      </c>
      <c r="C38" s="1050"/>
      <c r="D38" s="1050"/>
      <c r="E38" s="1050"/>
      <c r="F38" s="1050"/>
      <c r="G38" s="1050"/>
      <c r="H38" s="1050"/>
      <c r="I38" s="1050"/>
      <c r="J38" s="1050"/>
      <c r="K38" s="1050"/>
      <c r="L38" s="1050"/>
      <c r="M38" s="1050"/>
      <c r="N38" s="1050"/>
      <c r="O38" s="1050"/>
      <c r="P38" s="1050"/>
      <c r="Q38" s="1050"/>
      <c r="R38" s="1050"/>
      <c r="S38" s="1050"/>
      <c r="T38" s="1050"/>
      <c r="U38" s="1050"/>
      <c r="V38" s="1050"/>
      <c r="W38" s="1050"/>
      <c r="X38" s="1052"/>
      <c r="Y38" s="1251">
        <f>IF(T24&gt;=(T23+Y23+AD23+AI23),T28+Y28,0)</f>
        <v>19463562.300000001</v>
      </c>
      <c r="Z38" s="1251"/>
      <c r="AA38" s="1251"/>
      <c r="AB38" s="1251"/>
      <c r="AC38" s="1251"/>
      <c r="AD38" s="1251">
        <f>IF(T24&gt;=(T23+Y23+AD23+AI23),AD28+AI28,0)</f>
        <v>0</v>
      </c>
      <c r="AE38" s="1251"/>
      <c r="AF38" s="1251"/>
      <c r="AG38" s="1251"/>
      <c r="AH38" s="1251"/>
    </row>
    <row r="39" spans="1:44" ht="13.35" customHeight="1">
      <c r="B39" s="1049" t="s">
        <v>1821</v>
      </c>
      <c r="C39" s="1050"/>
      <c r="D39" s="1050"/>
      <c r="E39" s="1050"/>
      <c r="F39" s="1050"/>
      <c r="G39" s="1050"/>
      <c r="H39" s="1050"/>
      <c r="I39" s="1050"/>
      <c r="J39" s="1050"/>
      <c r="K39" s="1050"/>
      <c r="L39" s="1050"/>
      <c r="M39" s="1050"/>
      <c r="N39" s="1050"/>
      <c r="O39" s="1050"/>
      <c r="P39" s="1050"/>
      <c r="Q39" s="1050"/>
      <c r="R39" s="1050"/>
      <c r="S39" s="1050"/>
      <c r="T39" s="1050"/>
      <c r="U39" s="1050"/>
      <c r="V39" s="1050"/>
      <c r="W39" s="1050"/>
      <c r="X39" s="1052"/>
      <c r="Y39" s="1514">
        <v>0.09</v>
      </c>
      <c r="Z39" s="1514"/>
      <c r="AA39" s="1514"/>
      <c r="AB39" s="1514"/>
      <c r="AC39" s="1514"/>
      <c r="AD39" s="1514">
        <v>0.04</v>
      </c>
      <c r="AE39" s="1514"/>
      <c r="AF39" s="1514"/>
      <c r="AG39" s="1514"/>
      <c r="AH39" s="1514"/>
    </row>
    <row r="40" spans="1:44" ht="13.35" customHeight="1">
      <c r="A40" s="3"/>
      <c r="B40" s="1049" t="s">
        <v>1822</v>
      </c>
      <c r="C40" s="1050"/>
      <c r="D40" s="1050"/>
      <c r="E40" s="1050"/>
      <c r="F40" s="1050"/>
      <c r="G40" s="1050"/>
      <c r="H40" s="1050"/>
      <c r="I40" s="1050"/>
      <c r="J40" s="1050"/>
      <c r="K40" s="1050"/>
      <c r="L40" s="1050"/>
      <c r="M40" s="1050"/>
      <c r="N40" s="1050"/>
      <c r="O40" s="1050"/>
      <c r="P40" s="1050"/>
      <c r="Q40" s="1050"/>
      <c r="R40" s="1050"/>
      <c r="S40" s="1050"/>
      <c r="T40" s="1050"/>
      <c r="U40" s="1050"/>
      <c r="V40" s="1050"/>
      <c r="W40" s="1050"/>
      <c r="X40" s="1052"/>
      <c r="Y40" s="1251">
        <f>ROUND(Y38*Y39,0)</f>
        <v>1751721</v>
      </c>
      <c r="Z40" s="1251"/>
      <c r="AA40" s="1251"/>
      <c r="AB40" s="1251"/>
      <c r="AC40" s="1251"/>
      <c r="AD40" s="1515">
        <f>ROUND(AD38*AD39,0)</f>
        <v>0</v>
      </c>
      <c r="AE40" s="1251"/>
      <c r="AF40" s="1251"/>
      <c r="AG40" s="1251"/>
      <c r="AH40" s="1251"/>
    </row>
    <row r="41" spans="1:44" ht="13.35" customHeight="1">
      <c r="B41" s="1049" t="s">
        <v>1823</v>
      </c>
      <c r="C41" s="1050"/>
      <c r="D41" s="1050"/>
      <c r="E41" s="1050"/>
      <c r="F41" s="1050"/>
      <c r="G41" s="1050"/>
      <c r="H41" s="1050"/>
      <c r="I41" s="1050"/>
      <c r="J41" s="1050"/>
      <c r="K41" s="1050"/>
      <c r="L41" s="1050"/>
      <c r="M41" s="1050"/>
      <c r="N41" s="1050"/>
      <c r="O41" s="1050"/>
      <c r="P41" s="1050"/>
      <c r="Q41" s="1050"/>
      <c r="R41" s="1050"/>
      <c r="S41" s="1050"/>
      <c r="T41" s="1050"/>
      <c r="U41" s="1050"/>
      <c r="V41" s="1050"/>
      <c r="W41" s="1050"/>
      <c r="X41" s="1052"/>
      <c r="Y41" s="1516">
        <f>IF(Application!Y211="No",'Basis &amp; Credits'!AR42,AR43)</f>
        <v>1751721</v>
      </c>
      <c r="Z41" s="1517"/>
      <c r="AA41" s="1517"/>
      <c r="AB41" s="1517"/>
      <c r="AC41" s="1517"/>
      <c r="AD41" s="1517"/>
      <c r="AE41" s="1517"/>
      <c r="AF41" s="1517"/>
      <c r="AG41" s="1517"/>
      <c r="AH41" s="1515"/>
    </row>
    <row r="42" spans="1:44" ht="13.35" customHeight="1">
      <c r="A42" s="3"/>
      <c r="B42" s="1526" t="s">
        <v>1824</v>
      </c>
      <c r="C42" s="1526"/>
      <c r="D42" s="1526"/>
      <c r="E42" s="1526"/>
      <c r="F42" s="1526"/>
      <c r="G42" s="1526"/>
      <c r="H42" s="1526"/>
      <c r="I42" s="1526"/>
      <c r="J42" s="1526"/>
      <c r="K42" s="1526"/>
      <c r="L42" s="1526"/>
      <c r="M42" s="1526"/>
      <c r="N42" s="1526"/>
      <c r="O42" s="1526"/>
      <c r="P42" s="1526"/>
      <c r="Q42" s="1526"/>
      <c r="R42" s="1526"/>
      <c r="S42" s="1526"/>
      <c r="T42" s="1526"/>
      <c r="U42" s="1526"/>
      <c r="V42" s="1526"/>
      <c r="W42" s="1526"/>
      <c r="X42" s="1526"/>
      <c r="Y42" s="1526"/>
      <c r="Z42" s="1526"/>
      <c r="AA42" s="1526"/>
      <c r="AB42" s="1526"/>
      <c r="AC42" s="1526"/>
      <c r="AD42" s="1526"/>
      <c r="AE42" s="1526"/>
      <c r="AF42" s="1526"/>
      <c r="AG42" s="1526"/>
      <c r="AH42" s="1526"/>
      <c r="AI42" s="25"/>
      <c r="AJ42" s="25"/>
      <c r="AK42" s="25"/>
      <c r="AL42" s="25"/>
      <c r="AM42" s="25"/>
      <c r="AN42" s="25"/>
      <c r="AR42">
        <f>IF((Y40+AD40)&gt;2500000,2500000,Y40+AD40)</f>
        <v>1751721</v>
      </c>
    </row>
    <row r="43" spans="1:44" ht="13.3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1751721</v>
      </c>
    </row>
    <row r="44" spans="1:44" ht="13.3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35" customHeight="1">
      <c r="A45" s="3" t="s">
        <v>970</v>
      </c>
      <c r="C45" s="3" t="s">
        <v>279</v>
      </c>
    </row>
    <row r="46" spans="1:44" ht="13.35" customHeight="1">
      <c r="D46" s="3" t="s">
        <v>1825</v>
      </c>
      <c r="AB46" s="1106">
        <f>'Sources and Uses Budget'!B104-(MAX(IF('Sources and Uses Budget'!B15="",0,'Sources and Uses Budget'!B15),IF(Application!AG387="",0,Application!AG387)))</f>
        <v>22529000</v>
      </c>
      <c r="AC46" s="1107"/>
      <c r="AD46" s="1107"/>
      <c r="AE46" s="1107"/>
      <c r="AF46" s="1108"/>
    </row>
    <row r="47" spans="1:44" ht="13.35" customHeight="1">
      <c r="D47" s="3" t="s">
        <v>184</v>
      </c>
      <c r="AB47" s="1106">
        <f>Application!AO630-MAX(IF('Sources and Uses Budget'!B15="",0,'Sources and Uses Budget'!B15),IF(Application!AG387="",0,Application!AG387))</f>
        <v>6238000</v>
      </c>
      <c r="AC47" s="1107"/>
      <c r="AD47" s="1107"/>
      <c r="AE47" s="1107"/>
      <c r="AF47" s="1108"/>
    </row>
    <row r="48" spans="1:44" ht="13.35" customHeight="1">
      <c r="D48" s="3" t="s">
        <v>1826</v>
      </c>
      <c r="AB48" s="1106">
        <f>AB46-AB47</f>
        <v>16291000</v>
      </c>
      <c r="AC48" s="1107"/>
      <c r="AD48" s="1107"/>
      <c r="AE48" s="1107"/>
      <c r="AF48" s="1108"/>
    </row>
    <row r="49" spans="1:40" ht="13.35" customHeight="1">
      <c r="D49" s="3" t="s">
        <v>1827</v>
      </c>
      <c r="AA49" s="31"/>
      <c r="AB49" s="1521">
        <v>0.93</v>
      </c>
      <c r="AC49" s="1522"/>
      <c r="AD49" s="1522"/>
      <c r="AE49" s="1522"/>
      <c r="AF49" s="1523"/>
    </row>
    <row r="50" spans="1:40" s="271" customFormat="1" ht="13.35" customHeight="1">
      <c r="A50"/>
      <c r="B50"/>
      <c r="C50"/>
      <c r="D50"/>
      <c r="E50" s="1530" t="s">
        <v>1828</v>
      </c>
      <c r="F50" s="1530"/>
      <c r="G50" s="1530"/>
      <c r="H50" s="1530"/>
      <c r="I50" s="1530"/>
      <c r="J50" s="1530"/>
      <c r="K50" s="1530"/>
      <c r="L50" s="1530"/>
      <c r="M50" s="1530"/>
      <c r="N50" s="1530"/>
      <c r="O50" s="1530"/>
      <c r="P50" s="1530"/>
      <c r="Q50" s="1530"/>
      <c r="R50" s="1530"/>
      <c r="S50" s="1530"/>
      <c r="T50" s="1530"/>
      <c r="U50" s="1530"/>
      <c r="V50" s="1530"/>
      <c r="W50" s="1530"/>
      <c r="X50" s="1530"/>
      <c r="Y50" s="1530"/>
      <c r="Z50" s="1530"/>
      <c r="AA50" s="721"/>
      <c r="AB50" s="721"/>
      <c r="AC50" s="721"/>
      <c r="AD50" s="721"/>
      <c r="AE50" s="721"/>
      <c r="AF50" s="721"/>
      <c r="AG50"/>
      <c r="AH50"/>
      <c r="AI50"/>
      <c r="AJ50"/>
      <c r="AK50"/>
      <c r="AL50"/>
      <c r="AM50"/>
      <c r="AN50"/>
    </row>
    <row r="51" spans="1:40" s="271" customFormat="1" ht="13.35" customHeight="1">
      <c r="A51"/>
      <c r="B51"/>
      <c r="C51"/>
      <c r="D51"/>
      <c r="E51" s="1530"/>
      <c r="F51" s="1530"/>
      <c r="G51" s="1530"/>
      <c r="H51" s="1530"/>
      <c r="I51" s="1530"/>
      <c r="J51" s="1530"/>
      <c r="K51" s="1530"/>
      <c r="L51" s="1530"/>
      <c r="M51" s="1530"/>
      <c r="N51" s="1530"/>
      <c r="O51" s="1530"/>
      <c r="P51" s="1530"/>
      <c r="Q51" s="1530"/>
      <c r="R51" s="1530"/>
      <c r="S51" s="1530"/>
      <c r="T51" s="1530"/>
      <c r="U51" s="1530"/>
      <c r="V51" s="1530"/>
      <c r="W51" s="1530"/>
      <c r="X51" s="1530"/>
      <c r="Y51" s="1530"/>
      <c r="Z51" s="1530"/>
      <c r="AA51" s="415"/>
      <c r="AB51" s="415"/>
      <c r="AC51" s="415"/>
      <c r="AD51" s="415"/>
      <c r="AE51" s="415"/>
      <c r="AF51" s="415"/>
      <c r="AG51" s="85"/>
      <c r="AH51"/>
      <c r="AI51"/>
      <c r="AJ51"/>
      <c r="AK51"/>
      <c r="AL51"/>
      <c r="AM51"/>
      <c r="AN51"/>
    </row>
    <row r="52" spans="1:40" ht="13.3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35" customHeight="1">
      <c r="D53" s="3" t="s">
        <v>1829</v>
      </c>
      <c r="AB53" s="1106">
        <f>ROUND(IF(ISERROR((AB48/AB49)),0,(AB48/AB49)),0)</f>
        <v>17517204</v>
      </c>
      <c r="AC53" s="1107"/>
      <c r="AD53" s="1107"/>
      <c r="AE53" s="1107"/>
      <c r="AF53" s="1108"/>
    </row>
    <row r="54" spans="1:40" ht="13.35" customHeight="1">
      <c r="D54" s="3" t="s">
        <v>1830</v>
      </c>
      <c r="AB54" s="1106">
        <f>(AB53/10)</f>
        <v>1751720.4</v>
      </c>
      <c r="AC54" s="1107"/>
      <c r="AD54" s="1107"/>
      <c r="AE54" s="1107"/>
      <c r="AF54" s="1108"/>
    </row>
    <row r="55" spans="1:40" ht="13.35" customHeight="1">
      <c r="D55" s="3" t="s">
        <v>1831</v>
      </c>
      <c r="AB55" s="1527">
        <f>(IF((Y41&lt;AB54),Y41,AB54))</f>
        <v>1751720.4</v>
      </c>
      <c r="AC55" s="1528"/>
      <c r="AD55" s="1528"/>
      <c r="AE55" s="1528"/>
      <c r="AF55" s="1529"/>
    </row>
    <row r="56" spans="1:40" ht="13.35" customHeight="1">
      <c r="D56" s="3" t="s">
        <v>1832</v>
      </c>
      <c r="AB56" s="1106">
        <f>ROUND((10*AB55*AB49),0)</f>
        <v>16291000</v>
      </c>
      <c r="AC56" s="1107"/>
      <c r="AD56" s="1107"/>
      <c r="AE56" s="1107"/>
      <c r="AF56" s="1108"/>
    </row>
    <row r="57" spans="1:40" ht="13.35" customHeight="1">
      <c r="D57" s="3"/>
      <c r="AB57" s="238"/>
      <c r="AC57" s="238"/>
      <c r="AD57" s="238"/>
      <c r="AE57" s="238"/>
      <c r="AF57" s="238"/>
    </row>
    <row r="58" spans="1:40" ht="13.35" customHeight="1">
      <c r="D58" s="3" t="s">
        <v>1833</v>
      </c>
      <c r="AB58" s="1112">
        <f>AB48-AB56</f>
        <v>0</v>
      </c>
      <c r="AC58" s="1112"/>
      <c r="AD58" s="1112"/>
      <c r="AE58" s="1112"/>
      <c r="AF58" s="1112"/>
    </row>
    <row r="59" spans="1:40" ht="13.35" customHeight="1">
      <c r="D59" s="3"/>
      <c r="F59" s="16" t="str">
        <f>IF(AB58&gt;0,"FUNDING GAP MUST NOT EXCEED ZERO UNLESS REQUESTING STATE CREDITS","")</f>
        <v/>
      </c>
      <c r="G59" s="16"/>
      <c r="N59" s="16"/>
      <c r="AB59" s="238"/>
      <c r="AC59" s="238"/>
      <c r="AD59" s="238"/>
      <c r="AE59" s="238"/>
      <c r="AF59" s="238"/>
    </row>
    <row r="60" spans="1:40" ht="13.35" customHeight="1" thickBot="1">
      <c r="A60" s="1511" t="s">
        <v>1834</v>
      </c>
      <c r="B60" s="1511"/>
      <c r="C60" s="1511"/>
      <c r="D60" s="1511"/>
      <c r="E60" s="1511"/>
      <c r="F60" s="1511"/>
      <c r="G60" s="1511"/>
      <c r="H60" s="1511"/>
      <c r="I60" s="1511"/>
      <c r="J60" s="1511"/>
      <c r="K60" s="1511"/>
      <c r="L60" s="1511"/>
      <c r="M60" s="1511"/>
      <c r="N60" s="1511"/>
      <c r="O60" s="1511"/>
      <c r="P60" s="1511"/>
      <c r="Q60" s="1511"/>
      <c r="R60" s="1511"/>
      <c r="S60" s="1511"/>
      <c r="T60" s="1511"/>
      <c r="U60" s="1511"/>
      <c r="V60" s="1511"/>
      <c r="W60" s="1511"/>
      <c r="X60" s="1511"/>
      <c r="Y60" s="1511"/>
      <c r="Z60" s="1511"/>
      <c r="AA60" s="1511"/>
      <c r="AB60" s="1511"/>
      <c r="AC60" s="1511"/>
      <c r="AD60" s="1511"/>
      <c r="AE60" s="1511"/>
      <c r="AF60" s="1511"/>
      <c r="AG60" s="1511"/>
      <c r="AH60" s="1511"/>
      <c r="AI60" s="1511"/>
      <c r="AJ60" s="1511"/>
      <c r="AK60" s="1511"/>
      <c r="AL60" s="1511"/>
      <c r="AM60" s="1511"/>
      <c r="AN60" s="1511"/>
    </row>
    <row r="61" spans="1:40" ht="13.35" customHeight="1" thickTop="1">
      <c r="A61" s="1130"/>
      <c r="B61" s="1130"/>
      <c r="C61" s="1130"/>
      <c r="D61" s="1130"/>
      <c r="E61" s="1130"/>
      <c r="F61" s="1130"/>
      <c r="G61" s="1130"/>
      <c r="H61" s="1130"/>
      <c r="I61" s="1130"/>
      <c r="J61" s="1130"/>
      <c r="K61" s="1130"/>
      <c r="L61" s="1130"/>
      <c r="M61" s="1130"/>
      <c r="N61" s="1130"/>
      <c r="O61" s="1130"/>
      <c r="P61" s="1130"/>
      <c r="Q61" s="1130"/>
      <c r="R61" s="1130"/>
      <c r="S61" s="1130"/>
      <c r="T61" s="1130"/>
      <c r="U61" s="1130"/>
      <c r="V61" s="1130"/>
      <c r="W61" s="1130"/>
      <c r="X61" s="1130"/>
      <c r="Y61" s="1130"/>
      <c r="Z61" s="1130"/>
      <c r="AA61" s="1130"/>
      <c r="AB61" s="1130"/>
      <c r="AC61" s="1130"/>
      <c r="AD61" s="1130"/>
      <c r="AE61" s="1130"/>
      <c r="AF61" s="1130"/>
      <c r="AG61" s="1130"/>
      <c r="AH61" s="1130"/>
      <c r="AI61" s="1130"/>
      <c r="AJ61" s="1130"/>
      <c r="AK61" s="1130"/>
      <c r="AL61" s="1130"/>
      <c r="AM61" s="1130"/>
      <c r="AN61" s="1130"/>
    </row>
    <row r="62" spans="1:40" ht="13.35" customHeight="1">
      <c r="A62" s="3" t="s">
        <v>991</v>
      </c>
      <c r="C62" s="3" t="s">
        <v>285</v>
      </c>
      <c r="Y62" s="1513" t="s">
        <v>1835</v>
      </c>
      <c r="Z62" s="1513"/>
      <c r="AA62" s="1513"/>
      <c r="AB62" s="1513"/>
      <c r="AC62" s="1513"/>
      <c r="AD62" s="1513" t="s">
        <v>1820</v>
      </c>
      <c r="AE62" s="1513"/>
      <c r="AF62" s="1513"/>
      <c r="AG62" s="1513"/>
      <c r="AH62" s="1513"/>
    </row>
    <row r="63" spans="1:40" ht="13.35" customHeight="1">
      <c r="C63" s="3"/>
      <c r="D63" s="107" t="s">
        <v>1836</v>
      </c>
      <c r="E63" s="15"/>
      <c r="F63" s="15"/>
      <c r="G63" s="15"/>
      <c r="H63" s="15"/>
      <c r="I63" s="15"/>
      <c r="J63" s="15"/>
      <c r="K63" s="15"/>
      <c r="L63" s="15"/>
      <c r="M63" s="15"/>
      <c r="N63" s="15"/>
      <c r="O63" s="15"/>
      <c r="P63" s="15"/>
      <c r="Q63" s="15"/>
      <c r="R63" s="15"/>
      <c r="S63" s="15"/>
      <c r="T63" s="15"/>
      <c r="U63" s="15"/>
      <c r="V63" s="15"/>
      <c r="W63" s="15"/>
      <c r="X63" s="15"/>
      <c r="Y63" s="1370">
        <f>IF(AND(Application!T193="No",Application!T194="No"),T28,IF(OR(AND(T25=1.3,Application!T196="Yes",Application!D214="Special Needs"),T25=1),(T23*T27)+Y28,Y28))</f>
        <v>0</v>
      </c>
      <c r="Z63" s="1524"/>
      <c r="AA63" s="1524"/>
      <c r="AB63" s="1524"/>
      <c r="AC63" s="1524"/>
      <c r="AD63" s="1251">
        <f>IF(AND(T25=1.3,Application!D214="At-Risk"),AI28,IF(Application!D214&lt;&gt;"At-Risk",0,AD28))</f>
        <v>0</v>
      </c>
      <c r="AE63" s="1524"/>
      <c r="AF63" s="1524"/>
      <c r="AG63" s="1524"/>
      <c r="AH63" s="1524"/>
    </row>
    <row r="64" spans="1:40" ht="13.35" customHeight="1">
      <c r="C64" s="3"/>
      <c r="E64" s="1512" t="s">
        <v>1837</v>
      </c>
      <c r="F64" s="1512"/>
      <c r="G64" s="1512"/>
      <c r="H64" s="1512"/>
      <c r="I64" s="1512"/>
      <c r="J64" s="1512"/>
      <c r="K64" s="1512"/>
      <c r="L64" s="1512"/>
      <c r="M64" s="1512"/>
      <c r="N64" s="1512"/>
      <c r="O64" s="1512"/>
      <c r="P64" s="1512"/>
      <c r="Q64" s="1512"/>
      <c r="R64" s="1512"/>
      <c r="S64" s="1512"/>
      <c r="T64" s="1512"/>
      <c r="U64" s="1512"/>
      <c r="V64" s="1512"/>
      <c r="W64" s="1512"/>
      <c r="X64" s="1512"/>
      <c r="Y64" s="1512"/>
      <c r="Z64" s="1512"/>
      <c r="AA64" s="1512"/>
      <c r="AB64" s="1512"/>
      <c r="AC64" s="1512"/>
      <c r="AD64" s="1512"/>
      <c r="AE64" s="1512"/>
      <c r="AF64" s="1512"/>
      <c r="AG64" s="1512"/>
      <c r="AH64" s="1512"/>
    </row>
    <row r="65" spans="1:34" ht="21.75" customHeight="1">
      <c r="C65" s="3"/>
      <c r="E65" s="1512"/>
      <c r="F65" s="1512"/>
      <c r="G65" s="1512"/>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row>
    <row r="66" spans="1:34" ht="13.35" customHeight="1">
      <c r="C66" s="3"/>
      <c r="D66" s="3" t="s">
        <v>1838</v>
      </c>
      <c r="E66" s="83"/>
      <c r="F66" s="83"/>
      <c r="G66" s="83"/>
      <c r="H66" s="83"/>
      <c r="I66" s="83"/>
      <c r="J66" s="83"/>
      <c r="K66" s="83"/>
      <c r="L66" s="83"/>
      <c r="M66" s="83"/>
      <c r="N66" s="83"/>
      <c r="O66" s="83"/>
      <c r="P66" s="83"/>
      <c r="Q66" s="83"/>
      <c r="R66" s="83"/>
      <c r="S66" s="83"/>
      <c r="T66" s="83"/>
      <c r="U66" s="83"/>
      <c r="V66" s="83"/>
      <c r="W66" s="83"/>
      <c r="X66" s="83"/>
      <c r="Y66" s="1520">
        <f>IF(Application!W198="Yes",95%, 30%)</f>
        <v>0.3</v>
      </c>
      <c r="Z66" s="1520"/>
      <c r="AA66" s="1520"/>
      <c r="AB66" s="1520"/>
      <c r="AC66" s="1520"/>
      <c r="AD66" s="1520">
        <f>IF(Application!W198="Yes",95%, 13%)</f>
        <v>0.13</v>
      </c>
      <c r="AE66" s="1520"/>
      <c r="AF66" s="1520"/>
      <c r="AG66" s="1520"/>
      <c r="AH66" s="1520"/>
    </row>
    <row r="67" spans="1:34" ht="13.35" customHeight="1">
      <c r="C67" s="3"/>
      <c r="D67" s="3" t="s">
        <v>1839</v>
      </c>
      <c r="Y67" s="1251">
        <f>ROUND(Y63*Y66,0)</f>
        <v>0</v>
      </c>
      <c r="Z67" s="1524"/>
      <c r="AA67" s="1524"/>
      <c r="AB67" s="1524"/>
      <c r="AC67" s="1524"/>
      <c r="AD67" s="1251" t="str">
        <f>IF(OR(Application!D211="At-Risk",Application!D211="At-Risk/Located in Rural Census Tract",Application!D214="At-Risk"),ROUND(AD63*AD66,0),"$0")</f>
        <v>$0</v>
      </c>
      <c r="AE67" s="1251"/>
      <c r="AF67" s="1251"/>
      <c r="AG67" s="1251"/>
      <c r="AH67" s="1251"/>
    </row>
    <row r="68" spans="1:34" ht="13.35" customHeight="1">
      <c r="C68" s="3"/>
      <c r="E68" s="704" t="s">
        <v>1840</v>
      </c>
      <c r="F68" s="283"/>
      <c r="G68" s="703"/>
      <c r="H68" s="703"/>
      <c r="I68" s="703"/>
      <c r="J68" s="703"/>
      <c r="K68" s="703"/>
      <c r="L68" s="703"/>
      <c r="M68" s="703"/>
      <c r="N68" s="703"/>
      <c r="O68" s="703"/>
      <c r="P68" s="703"/>
      <c r="Q68" s="703"/>
      <c r="R68" s="703"/>
      <c r="S68" s="703"/>
      <c r="T68" s="703"/>
      <c r="U68" s="703"/>
      <c r="V68" s="703"/>
      <c r="W68" s="703"/>
      <c r="X68" s="703"/>
      <c r="Y68" s="703"/>
      <c r="Z68" s="703"/>
      <c r="AA68" s="703"/>
      <c r="AB68" s="703"/>
      <c r="AC68" s="703"/>
      <c r="AD68" s="703"/>
      <c r="AE68" s="703"/>
      <c r="AF68" s="703"/>
      <c r="AG68" s="703"/>
      <c r="AH68" s="703"/>
    </row>
    <row r="69" spans="1:34" ht="13.35" customHeight="1">
      <c r="A69" s="3" t="s">
        <v>1006</v>
      </c>
      <c r="C69" s="3" t="s">
        <v>288</v>
      </c>
      <c r="E69" s="703"/>
      <c r="F69" s="703"/>
      <c r="G69" s="703"/>
      <c r="H69" s="703"/>
      <c r="I69" s="703"/>
      <c r="J69" s="703"/>
      <c r="K69" s="703"/>
      <c r="L69" s="703"/>
      <c r="M69" s="703"/>
      <c r="N69" s="703"/>
      <c r="O69" s="703"/>
      <c r="P69" s="703"/>
      <c r="Q69" s="703"/>
      <c r="R69" s="703"/>
      <c r="S69" s="703"/>
      <c r="T69" s="703"/>
      <c r="U69" s="703"/>
      <c r="V69" s="703"/>
      <c r="W69" s="703"/>
      <c r="X69" s="703"/>
      <c r="Y69" s="703"/>
      <c r="Z69" s="703"/>
      <c r="AA69" s="703"/>
      <c r="AB69" s="703"/>
      <c r="AC69" s="703"/>
      <c r="AD69" s="703"/>
      <c r="AE69" s="703"/>
      <c r="AF69" s="703"/>
      <c r="AG69" s="703"/>
      <c r="AH69" s="703"/>
    </row>
    <row r="70" spans="1:34" ht="13.35" customHeight="1">
      <c r="A70" s="3"/>
      <c r="C70" s="3"/>
      <c r="D70" s="3" t="s">
        <v>1841</v>
      </c>
      <c r="AB70" s="1521">
        <v>0.89</v>
      </c>
      <c r="AC70" s="1522"/>
      <c r="AD70" s="1522"/>
      <c r="AE70" s="1522"/>
      <c r="AF70" s="1523"/>
    </row>
    <row r="71" spans="1:34" ht="13.35" customHeight="1">
      <c r="A71" s="3"/>
      <c r="C71" s="3"/>
      <c r="D71" s="3"/>
      <c r="E71" s="1525" t="s">
        <v>1842</v>
      </c>
      <c r="F71" s="1525"/>
      <c r="G71" s="1525"/>
      <c r="H71" s="1525"/>
      <c r="I71" s="1525"/>
      <c r="J71" s="1525"/>
      <c r="K71" s="1525"/>
      <c r="L71" s="1525"/>
      <c r="M71" s="1525"/>
      <c r="N71" s="1525"/>
      <c r="O71" s="1525"/>
      <c r="P71" s="1525"/>
      <c r="Q71" s="1525"/>
      <c r="R71" s="1525"/>
      <c r="S71" s="1525"/>
      <c r="T71" s="1525"/>
      <c r="U71" s="1525"/>
      <c r="V71" s="1525"/>
      <c r="W71" s="1525"/>
      <c r="X71" s="1525"/>
      <c r="Y71" s="1525"/>
      <c r="Z71" s="1525"/>
      <c r="AA71" s="219"/>
      <c r="AB71" s="219"/>
      <c r="AC71" s="219"/>
    </row>
    <row r="72" spans="1:34" ht="13.35" customHeight="1">
      <c r="A72" s="3"/>
      <c r="C72" s="3"/>
      <c r="D72" s="3"/>
      <c r="E72" s="1525"/>
      <c r="F72" s="1525"/>
      <c r="G72" s="1525"/>
      <c r="H72" s="1525"/>
      <c r="I72" s="1525"/>
      <c r="J72" s="1525"/>
      <c r="K72" s="1525"/>
      <c r="L72" s="1525"/>
      <c r="M72" s="1525"/>
      <c r="N72" s="1525"/>
      <c r="O72" s="1525"/>
      <c r="P72" s="1525"/>
      <c r="Q72" s="1525"/>
      <c r="R72" s="1525"/>
      <c r="S72" s="1525"/>
      <c r="T72" s="1525"/>
      <c r="U72" s="1525"/>
      <c r="V72" s="1525"/>
      <c r="W72" s="1525"/>
      <c r="X72" s="1525"/>
      <c r="Y72" s="1525"/>
      <c r="Z72" s="1525"/>
      <c r="AA72" s="219"/>
      <c r="AB72" s="219"/>
      <c r="AC72" s="219"/>
    </row>
    <row r="73" spans="1:34" ht="13.35" customHeight="1">
      <c r="A73" s="3"/>
      <c r="C73" s="3"/>
      <c r="D73" s="3"/>
      <c r="E73" s="1525"/>
      <c r="F73" s="1525"/>
      <c r="G73" s="1525"/>
      <c r="H73" s="1525"/>
      <c r="I73" s="1525"/>
      <c r="J73" s="1525"/>
      <c r="K73" s="1525"/>
      <c r="L73" s="1525"/>
      <c r="M73" s="1525"/>
      <c r="N73" s="1525"/>
      <c r="O73" s="1525"/>
      <c r="P73" s="1525"/>
      <c r="Q73" s="1525"/>
      <c r="R73" s="1525"/>
      <c r="S73" s="1525"/>
      <c r="T73" s="1525"/>
      <c r="U73" s="1525"/>
      <c r="V73" s="1525"/>
      <c r="W73" s="1525"/>
      <c r="X73" s="1525"/>
      <c r="Y73" s="1525"/>
      <c r="Z73" s="1525"/>
      <c r="AA73" s="219"/>
      <c r="AB73" s="219"/>
      <c r="AC73" s="219"/>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1843</v>
      </c>
      <c r="AB75" s="1169">
        <f>ROUND(IF(ISERROR((AB58/AB70)),0,(AB58/AB70)),0)</f>
        <v>0</v>
      </c>
      <c r="AC75" s="1169"/>
      <c r="AD75" s="1169"/>
      <c r="AE75" s="1169"/>
      <c r="AF75" s="1169"/>
    </row>
    <row r="76" spans="1:34" ht="13.35" customHeight="1">
      <c r="C76" s="3"/>
      <c r="D76" s="3" t="s">
        <v>1844</v>
      </c>
      <c r="AB76" s="1164">
        <f>IF((Y67+AD67&lt;AB75),Y67+AD67,AB75)</f>
        <v>0</v>
      </c>
      <c r="AC76" s="1165"/>
      <c r="AD76" s="1165"/>
      <c r="AE76" s="1165"/>
      <c r="AF76" s="1166"/>
    </row>
    <row r="77" spans="1:34" ht="13.35" customHeight="1">
      <c r="C77" s="3"/>
      <c r="D77" s="3" t="s">
        <v>1845</v>
      </c>
      <c r="AB77" s="1519">
        <f>AB76*AB70</f>
        <v>0</v>
      </c>
      <c r="AC77" s="1519"/>
      <c r="AD77" s="1519"/>
      <c r="AE77" s="1519"/>
      <c r="AF77" s="1519"/>
    </row>
    <row r="78" spans="1:34" ht="13.35" customHeight="1">
      <c r="C78" s="3"/>
      <c r="D78" s="3"/>
      <c r="AB78" s="518"/>
      <c r="AC78" s="518"/>
      <c r="AD78" s="518"/>
      <c r="AE78" s="518"/>
      <c r="AF78" s="518"/>
    </row>
    <row r="79" spans="1:34" ht="13.35" customHeight="1">
      <c r="D79" s="3" t="s">
        <v>1833</v>
      </c>
      <c r="AB79" s="1112">
        <f>AB48-(AB56+AB77)</f>
        <v>0</v>
      </c>
      <c r="AC79" s="1112"/>
      <c r="AD79" s="1112"/>
      <c r="AE79" s="1112"/>
      <c r="AF79" s="1112"/>
    </row>
    <row r="80" spans="1:34" ht="13.35" customHeight="1">
      <c r="F80" s="16"/>
      <c r="J80" s="16" t="str">
        <f>IF(AB79&gt;0,"FUNDING GAP MUST NOT EXCEED ZERO","")</f>
        <v/>
      </c>
    </row>
    <row r="81" spans="4:4" ht="13.35" customHeight="1">
      <c r="D81" s="108"/>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6" priority="4">
      <formula>AND($T$18&gt;0,OR($C$18="",$C$18="Subtract (specify other ineligible amounts):"))</formula>
    </cfRule>
  </conditionalFormatting>
  <conditionalFormatting sqref="B19">
    <cfRule type="expression" dxfId="15" priority="3">
      <formula>AND($T$19&gt;0,OR($C$19="",$C$19="Subtract (specify other ineligible amounts):"))</formula>
    </cfRule>
  </conditionalFormatting>
  <conditionalFormatting sqref="C18:S19">
    <cfRule type="expression" dxfId="14" priority="1">
      <formula>AND(T18&gt;0,OR(C18="",C18="Subtract (specify other ineligible amounts):"))</formula>
    </cfRule>
  </conditionalFormatting>
  <conditionalFormatting sqref="AB58:AF59 AB79:AF79">
    <cfRule type="cellIs" dxfId="13"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700" zoomScale="120" zoomScaleNormal="120" workbookViewId="0">
      <selection activeCell="A710" sqref="A710:AM715"/>
    </sheetView>
  </sheetViews>
  <sheetFormatPr defaultColWidth="0" defaultRowHeight="12.3" zeroHeight="1"/>
  <cols>
    <col min="1" max="3" width="2.44140625" style="21" customWidth="1"/>
    <col min="4" max="4" width="3.1640625" style="21" customWidth="1"/>
    <col min="5" max="5" width="3.44140625" style="21" customWidth="1"/>
    <col min="6" max="6" width="2.71875" style="21" customWidth="1"/>
    <col min="7" max="16" width="2.44140625" style="21" customWidth="1"/>
    <col min="17" max="17" width="3.164062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83" customWidth="1"/>
    <col min="41" max="41" width="5.44140625" style="34" hidden="1" customWidth="1"/>
    <col min="42" max="55" width="5.44140625" style="21" hidden="1" customWidth="1"/>
    <col min="56" max="60" width="5.44140625" style="36" hidden="1" customWidth="1"/>
    <col min="61" max="109" width="5.44140625" style="21" hidden="1" customWidth="1"/>
    <col min="110" max="16384" width="9.1640625" style="21" hidden="1"/>
  </cols>
  <sheetData>
    <row r="1" spans="1:42" ht="15.75" customHeight="1">
      <c r="A1" s="1229" t="s">
        <v>1846</v>
      </c>
      <c r="B1" s="1229"/>
      <c r="C1" s="1229"/>
      <c r="D1" s="1229"/>
      <c r="E1" s="1229"/>
      <c r="F1" s="1229"/>
      <c r="G1" s="1229"/>
      <c r="H1" s="1229"/>
      <c r="I1" s="1229"/>
      <c r="J1" s="1229"/>
      <c r="K1" s="1229"/>
      <c r="L1" s="1229"/>
      <c r="M1" s="1229"/>
      <c r="N1" s="1229"/>
      <c r="O1" s="1229"/>
      <c r="P1" s="1229"/>
      <c r="Q1" s="1229"/>
      <c r="R1" s="1229"/>
      <c r="S1" s="1229"/>
      <c r="T1" s="1229"/>
      <c r="U1" s="1229"/>
      <c r="V1" s="1229"/>
      <c r="W1" s="1229"/>
      <c r="X1" s="1229"/>
      <c r="Y1" s="1229"/>
      <c r="Z1" s="1229"/>
      <c r="AA1" s="1229"/>
      <c r="AB1" s="1229"/>
      <c r="AC1" s="1229"/>
      <c r="AD1" s="1229"/>
      <c r="AE1" s="1229"/>
      <c r="AF1" s="1229"/>
      <c r="AG1" s="1229"/>
      <c r="AH1" s="1229"/>
      <c r="AI1" s="1229"/>
      <c r="AJ1" s="1229"/>
      <c r="AK1" s="1229"/>
      <c r="AL1" s="1229"/>
      <c r="AM1" s="1229"/>
    </row>
    <row r="2" spans="1:42" s="5" customFormat="1" ht="12.75" customHeight="1" thickBo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907"/>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4"/>
    </row>
    <row r="4" spans="1:42" s="3" customFormat="1" ht="12.75" customHeight="1">
      <c r="A4" s="56" t="s">
        <v>1847</v>
      </c>
      <c r="AE4" s="1591" t="s">
        <v>1848</v>
      </c>
      <c r="AF4" s="1591"/>
      <c r="AG4" s="1591"/>
      <c r="AH4" s="1591"/>
      <c r="AI4" s="1591"/>
      <c r="AJ4" s="1591"/>
      <c r="AK4" s="1591"/>
      <c r="AL4" s="18"/>
      <c r="AN4" s="584"/>
    </row>
    <row r="5" spans="1:42" s="3" customFormat="1" ht="13.35" customHeight="1">
      <c r="A5" s="56"/>
      <c r="AE5" s="18"/>
      <c r="AF5" s="18"/>
      <c r="AG5" s="18"/>
      <c r="AH5" s="18"/>
      <c r="AI5" s="18"/>
      <c r="AJ5" s="18"/>
      <c r="AK5" s="18"/>
      <c r="AL5" s="18"/>
      <c r="AN5" s="584"/>
    </row>
    <row r="6" spans="1:42" s="5" customFormat="1" ht="12.75" customHeight="1">
      <c r="A6" s="56"/>
      <c r="B6" s="56" t="s">
        <v>1849</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93" t="s">
        <v>1850</v>
      </c>
      <c r="AG6" s="1593"/>
      <c r="AH6" s="1593"/>
      <c r="AI6" s="1593"/>
      <c r="AJ6" s="1593"/>
      <c r="AK6" s="1593"/>
      <c r="AL6" s="1593"/>
      <c r="AM6" s="3"/>
      <c r="AN6" s="907"/>
      <c r="AO6" s="37"/>
      <c r="AP6" s="37"/>
    </row>
    <row r="7" spans="1:42" s="5" customFormat="1" ht="12.75" customHeight="1">
      <c r="A7" s="56"/>
      <c r="B7" s="56" t="s">
        <v>1063</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7"/>
      <c r="AO7" s="37"/>
      <c r="AP7" s="37"/>
    </row>
    <row r="8" spans="1:42" s="5" customFormat="1" ht="15" customHeight="1">
      <c r="A8" s="56"/>
      <c r="B8" s="1398" t="s">
        <v>1851</v>
      </c>
      <c r="C8" s="1398"/>
      <c r="D8" s="1398"/>
      <c r="E8" s="1398"/>
      <c r="F8" s="1398"/>
      <c r="G8" s="1398"/>
      <c r="H8" s="1398"/>
      <c r="I8" s="1398"/>
      <c r="J8" s="1398"/>
      <c r="K8" s="1398"/>
      <c r="L8" s="1398"/>
      <c r="M8" s="1398"/>
      <c r="N8" s="1398"/>
      <c r="O8" s="1398"/>
      <c r="P8" s="1398"/>
      <c r="Q8" s="1398"/>
      <c r="R8" s="1398"/>
      <c r="S8" s="1398"/>
      <c r="T8" s="1398"/>
      <c r="U8" s="1398"/>
      <c r="V8" s="1398"/>
      <c r="W8" s="1398"/>
      <c r="X8" s="1398"/>
      <c r="Y8" s="1398"/>
      <c r="Z8" s="1398"/>
      <c r="AA8" s="1398"/>
      <c r="AB8" s="1398"/>
      <c r="AC8" s="1398"/>
      <c r="AD8" s="3"/>
      <c r="AE8" s="88"/>
      <c r="AF8" s="88"/>
      <c r="AG8" s="88"/>
      <c r="AH8" s="88"/>
      <c r="AI8" s="88"/>
      <c r="AJ8" s="88"/>
      <c r="AK8" s="88"/>
      <c r="AL8" s="88"/>
      <c r="AM8" s="3"/>
      <c r="AN8" s="907"/>
      <c r="AO8" s="37"/>
      <c r="AP8" s="414"/>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7"/>
      <c r="AO9" s="351" t="s">
        <v>320</v>
      </c>
      <c r="AP9" s="394"/>
    </row>
    <row r="10" spans="1:42" s="5" customFormat="1" ht="12.75" customHeight="1">
      <c r="A10" s="56"/>
      <c r="B10" s="20" t="s">
        <v>1852</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7"/>
      <c r="AO10" s="296" t="s">
        <v>1853</v>
      </c>
      <c r="AP10" s="300">
        <v>5</v>
      </c>
    </row>
    <row r="11" spans="1:42" s="5" customFormat="1" ht="12.75" customHeight="1">
      <c r="A11" s="56"/>
      <c r="B11" s="1398" t="s">
        <v>1854</v>
      </c>
      <c r="C11" s="1398"/>
      <c r="D11" s="1398"/>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c r="AD11" s="1398"/>
      <c r="AE11" s="1398"/>
      <c r="AF11" s="1398"/>
      <c r="AG11" s="1398"/>
      <c r="AH11" s="1398"/>
      <c r="AI11" s="1398"/>
      <c r="AJ11" s="37"/>
      <c r="AK11" s="37"/>
      <c r="AL11" s="37"/>
      <c r="AM11" s="3"/>
      <c r="AN11" s="907"/>
      <c r="AO11" s="296" t="s">
        <v>1854</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7"/>
      <c r="AO12" s="296"/>
      <c r="AP12" s="300"/>
    </row>
    <row r="13" spans="1:42" s="5" customFormat="1" ht="12.75" customHeight="1">
      <c r="A13" s="56"/>
      <c r="B13" s="20" t="s">
        <v>1855</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94" t="s">
        <v>826</v>
      </c>
      <c r="AC13" s="1694"/>
      <c r="AD13" s="18"/>
      <c r="AE13" s="37"/>
      <c r="AF13" s="37"/>
      <c r="AG13" s="37"/>
      <c r="AH13" s="37"/>
      <c r="AI13" s="37"/>
      <c r="AJ13" s="37"/>
      <c r="AK13" s="37"/>
      <c r="AL13" s="37"/>
      <c r="AM13" s="3"/>
      <c r="AN13" s="907"/>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7"/>
      <c r="AO14" s="351" t="s">
        <v>1856</v>
      </c>
      <c r="AP14" s="300"/>
    </row>
    <row r="15" spans="1:42" s="5" customFormat="1" ht="12.75" customHeight="1">
      <c r="A15" s="56"/>
      <c r="B15" s="54" t="s">
        <v>1857</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7"/>
      <c r="AO15" s="296" t="s">
        <v>1858</v>
      </c>
      <c r="AP15" s="300">
        <v>5</v>
      </c>
    </row>
    <row r="16" spans="1:42" s="5" customFormat="1" ht="12.75" customHeight="1">
      <c r="A16" s="56"/>
      <c r="B16" s="1398" t="s">
        <v>1859</v>
      </c>
      <c r="C16" s="1398"/>
      <c r="D16" s="1398"/>
      <c r="E16" s="1398"/>
      <c r="F16" s="1398"/>
      <c r="G16" s="1398"/>
      <c r="H16" s="1398"/>
      <c r="I16" s="1398"/>
      <c r="J16" s="1398"/>
      <c r="K16" s="1398"/>
      <c r="L16" s="1398"/>
      <c r="M16" s="1398"/>
      <c r="N16" s="1398"/>
      <c r="O16" s="1398"/>
      <c r="P16" s="1398"/>
      <c r="Q16" s="1398"/>
      <c r="R16" s="1398"/>
      <c r="S16" s="1398"/>
      <c r="T16" s="1398"/>
      <c r="U16" s="1398"/>
      <c r="V16" s="1398"/>
      <c r="W16" s="1398"/>
      <c r="X16" s="1398"/>
      <c r="Y16" s="1398"/>
      <c r="Z16" s="1398"/>
      <c r="AA16" s="1398"/>
      <c r="AB16" s="1398"/>
      <c r="AC16" s="1398"/>
      <c r="AD16" s="1398"/>
      <c r="AE16" s="1398"/>
      <c r="AF16" s="1398"/>
      <c r="AG16" s="1398"/>
      <c r="AH16" s="1398"/>
      <c r="AI16" s="1398"/>
      <c r="AJ16" s="1398"/>
      <c r="AK16" s="416"/>
      <c r="AL16" s="416"/>
      <c r="AM16" s="416"/>
      <c r="AN16" s="907"/>
      <c r="AO16" s="296" t="s">
        <v>1859</v>
      </c>
      <c r="AP16" s="300">
        <v>7</v>
      </c>
    </row>
    <row r="17" spans="1:42" s="5" customFormat="1" ht="12.75" customHeight="1">
      <c r="A17" s="37"/>
      <c r="B17" s="54" t="s">
        <v>1860</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7"/>
      <c r="AO17" s="296"/>
      <c r="AP17" s="300"/>
    </row>
    <row r="18" spans="1:42" s="5" customFormat="1" ht="12.75" customHeight="1">
      <c r="A18" s="37"/>
      <c r="B18" s="20" t="s">
        <v>1861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7"/>
      <c r="AO18" s="37"/>
      <c r="AP18" s="414"/>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7"/>
      <c r="AO19" s="37"/>
      <c r="AP19" s="37"/>
    </row>
    <row r="20" spans="1:42" s="5" customFormat="1" ht="12.75" customHeight="1">
      <c r="A20" s="37"/>
      <c r="B20" s="1582" t="s">
        <v>1862</v>
      </c>
      <c r="C20" s="1582"/>
      <c r="D20" s="1582"/>
      <c r="E20" s="1582"/>
      <c r="F20" s="1582"/>
      <c r="G20" s="1582"/>
      <c r="H20" s="1582"/>
      <c r="I20" s="1582"/>
      <c r="J20" s="1582"/>
      <c r="K20" s="1582"/>
      <c r="L20" s="1582"/>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83"/>
      <c r="AM20" s="26"/>
      <c r="AN20" s="907"/>
      <c r="AO20" s="37"/>
      <c r="AP20" s="37"/>
    </row>
    <row r="21" spans="1:42" s="5" customFormat="1" ht="12.75" customHeight="1">
      <c r="A21" s="26"/>
      <c r="B21" s="1582"/>
      <c r="C21" s="1582"/>
      <c r="D21" s="1582"/>
      <c r="E21" s="1582"/>
      <c r="F21" s="1582"/>
      <c r="G21" s="1582"/>
      <c r="H21" s="1582"/>
      <c r="I21" s="1582"/>
      <c r="J21" s="1582"/>
      <c r="K21" s="1582"/>
      <c r="L21" s="1582"/>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83"/>
      <c r="AM21" s="26"/>
      <c r="AN21" s="907"/>
      <c r="AO21" s="37"/>
      <c r="AP21" s="908"/>
    </row>
    <row r="22" spans="1:42" s="5" customFormat="1" ht="12.75" customHeight="1">
      <c r="A22" s="26"/>
      <c r="B22" s="1582"/>
      <c r="C22" s="1582"/>
      <c r="D22" s="1582"/>
      <c r="E22" s="1582"/>
      <c r="F22" s="1582"/>
      <c r="G22" s="1582"/>
      <c r="H22" s="1582"/>
      <c r="I22" s="1582"/>
      <c r="J22" s="1582"/>
      <c r="K22" s="1582"/>
      <c r="L22" s="1582"/>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83"/>
      <c r="AM22" s="26"/>
      <c r="AN22" s="907"/>
      <c r="AO22" s="37"/>
      <c r="AP22" s="37"/>
    </row>
    <row r="23" spans="1:42" s="4" customFormat="1" ht="12.75" customHeight="1">
      <c r="A23" s="26"/>
      <c r="B23" s="1582"/>
      <c r="C23" s="1582"/>
      <c r="D23" s="1582"/>
      <c r="E23" s="1582"/>
      <c r="F23" s="1582"/>
      <c r="G23" s="1582"/>
      <c r="H23" s="1582"/>
      <c r="I23" s="1582"/>
      <c r="J23" s="1582"/>
      <c r="K23" s="1582"/>
      <c r="L23" s="1582"/>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83"/>
      <c r="AM23" s="26"/>
      <c r="AN23" s="243"/>
    </row>
    <row r="24" spans="1:42" s="4" customFormat="1" ht="12.75" customHeight="1">
      <c r="A24" s="26"/>
      <c r="B24" s="1582"/>
      <c r="C24" s="1582"/>
      <c r="D24" s="1582"/>
      <c r="E24" s="1582"/>
      <c r="F24" s="1582"/>
      <c r="G24" s="1582"/>
      <c r="H24" s="1582"/>
      <c r="I24" s="1582"/>
      <c r="J24" s="1582"/>
      <c r="K24" s="1582"/>
      <c r="L24" s="1582"/>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83"/>
      <c r="AM24" s="26"/>
      <c r="AN24" s="585"/>
      <c r="AO24" s="75"/>
    </row>
    <row r="25" spans="1:42" s="4" customFormat="1" ht="12.75" customHeight="1">
      <c r="A25" s="26"/>
      <c r="B25" s="1582"/>
      <c r="C25" s="1582"/>
      <c r="D25" s="1582"/>
      <c r="E25" s="1582"/>
      <c r="F25" s="1582"/>
      <c r="G25" s="1582"/>
      <c r="H25" s="1582"/>
      <c r="I25" s="1582"/>
      <c r="J25" s="1582"/>
      <c r="K25" s="1582"/>
      <c r="L25" s="1582"/>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83"/>
      <c r="AM25" s="26"/>
      <c r="AN25" s="585"/>
    </row>
    <row r="26" spans="1:42" s="4" customFormat="1" ht="12.75" customHeight="1">
      <c r="A26" s="26"/>
      <c r="B26" s="1582"/>
      <c r="C26" s="1582"/>
      <c r="D26" s="1582"/>
      <c r="E26" s="1582"/>
      <c r="F26" s="1582"/>
      <c r="G26" s="1582"/>
      <c r="H26" s="1582"/>
      <c r="I26" s="1582"/>
      <c r="J26" s="1582"/>
      <c r="K26" s="1582"/>
      <c r="L26" s="1582"/>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83"/>
      <c r="AM26" s="26"/>
      <c r="AN26" s="243"/>
    </row>
    <row r="27" spans="1:42" s="4" customFormat="1" ht="12.75" customHeight="1">
      <c r="A27" s="26"/>
      <c r="B27" s="1582"/>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83"/>
      <c r="AM27" s="26"/>
      <c r="AN27" s="533"/>
    </row>
    <row r="28" spans="1:42" s="4" customFormat="1" ht="12.75" customHeight="1">
      <c r="A28" s="26"/>
      <c r="B28" s="1582"/>
      <c r="C28" s="1582"/>
      <c r="D28" s="1582"/>
      <c r="E28" s="1582"/>
      <c r="F28" s="1582"/>
      <c r="G28" s="1582"/>
      <c r="H28" s="1582"/>
      <c r="I28" s="1582"/>
      <c r="J28" s="1582"/>
      <c r="K28" s="1582"/>
      <c r="L28" s="1582"/>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83"/>
      <c r="AM28" s="26"/>
      <c r="AN28" s="533"/>
    </row>
    <row r="29" spans="1:42" s="4" customFormat="1" ht="32.1" customHeight="1">
      <c r="A29" s="26"/>
      <c r="B29" s="1582"/>
      <c r="C29" s="1582"/>
      <c r="D29" s="1582"/>
      <c r="E29" s="1582"/>
      <c r="F29" s="1582"/>
      <c r="G29" s="1582"/>
      <c r="H29" s="1582"/>
      <c r="I29" s="1582"/>
      <c r="J29" s="1582"/>
      <c r="K29" s="1582"/>
      <c r="L29" s="1582"/>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83"/>
      <c r="AM29" s="26"/>
      <c r="AN29" s="533"/>
      <c r="AO29" s="296" t="s">
        <v>320</v>
      </c>
      <c r="AP29" s="296"/>
    </row>
    <row r="30" spans="1:42" s="4" customFormat="1" ht="12.75" customHeight="1">
      <c r="A30" s="37"/>
      <c r="B30" s="1618"/>
      <c r="C30" s="1618"/>
      <c r="D30" s="1618"/>
      <c r="E30" s="1618"/>
      <c r="F30" s="1618"/>
      <c r="G30" s="1618"/>
      <c r="H30" s="1618"/>
      <c r="I30" s="1618"/>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8"/>
      <c r="AF30" s="1618"/>
      <c r="AG30" s="1618"/>
      <c r="AH30" s="1618"/>
      <c r="AI30" s="1618"/>
      <c r="AJ30" s="1618"/>
      <c r="AK30" s="1618"/>
      <c r="AL30" s="414"/>
      <c r="AM30" s="37"/>
      <c r="AN30" s="533"/>
      <c r="AO30" s="296" t="s">
        <v>1863</v>
      </c>
      <c r="AP30" s="395">
        <v>2</v>
      </c>
    </row>
    <row r="31" spans="1:42" s="4" customFormat="1" ht="12.75" customHeight="1">
      <c r="A31" s="180"/>
      <c r="B31" s="340"/>
      <c r="C31" s="340"/>
      <c r="D31" s="340"/>
      <c r="E31" s="340"/>
      <c r="F31" s="340"/>
      <c r="G31" s="340"/>
      <c r="H31" s="340"/>
      <c r="I31" s="340"/>
      <c r="J31" s="340"/>
      <c r="K31" s="340"/>
      <c r="L31" s="340"/>
      <c r="M31" s="340"/>
      <c r="N31" s="340"/>
      <c r="O31" s="340"/>
      <c r="P31" s="340"/>
      <c r="Q31" s="340"/>
      <c r="R31" s="340"/>
      <c r="S31" s="340"/>
      <c r="T31" s="340"/>
      <c r="U31" s="340"/>
      <c r="V31" s="340"/>
      <c r="W31" s="340"/>
      <c r="X31" s="340"/>
      <c r="Y31" s="340"/>
      <c r="Z31" s="340"/>
      <c r="AA31" s="340"/>
      <c r="AB31" s="340"/>
      <c r="AC31" s="340"/>
      <c r="AD31" s="340"/>
      <c r="AE31" s="340"/>
      <c r="AF31" s="340"/>
      <c r="AG31" s="340"/>
      <c r="AH31" s="340"/>
      <c r="AI31" s="53" t="s">
        <v>1864</v>
      </c>
      <c r="AJ31" s="1190">
        <f>IF((AND(AND(OR(Application!D211="Nonprofit (qualified nonprofit organization)",Application!D211="Nonprofit (homeless assistance)",Application!D211="Special Needs/SRO"),Application!D214="Special Needs"),$AB$13="N/A")),VLOOKUP($B$16,$AO$14:$AP$16,2,FALSE),VLOOKUP($B$11,$AO$9:$AP$11,2,FALSE))</f>
        <v>7</v>
      </c>
      <c r="AK31" s="1190"/>
      <c r="AL31" s="414"/>
      <c r="AM31" s="37"/>
      <c r="AN31" s="533"/>
      <c r="AO31" s="296" t="s">
        <v>1865</v>
      </c>
      <c r="AP31" s="395">
        <v>3</v>
      </c>
    </row>
    <row r="32" spans="1:42" s="4" customFormat="1" ht="12.75" customHeight="1">
      <c r="A32" s="414"/>
      <c r="B32" s="414"/>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3"/>
      <c r="AO32" s="296"/>
      <c r="AP32" s="296"/>
    </row>
    <row r="33" spans="1:43" s="4" customFormat="1" ht="12.75" customHeight="1">
      <c r="A33" s="37"/>
      <c r="B33" s="56" t="s">
        <v>1866</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93" t="s">
        <v>1867</v>
      </c>
      <c r="AG33" s="1593"/>
      <c r="AH33" s="1593"/>
      <c r="AI33" s="1593"/>
      <c r="AJ33" s="1593"/>
      <c r="AK33" s="1593"/>
      <c r="AL33" s="1593"/>
      <c r="AM33" s="26"/>
      <c r="AN33" s="533"/>
      <c r="AO33" s="380"/>
      <c r="AP33" s="380"/>
    </row>
    <row r="34" spans="1:43" s="4" customFormat="1" ht="12.75" customHeight="1">
      <c r="A34" s="37"/>
      <c r="B34" s="20" t="s">
        <v>1852</v>
      </c>
      <c r="AA34" s="3"/>
      <c r="AB34" s="3"/>
      <c r="AC34" s="3"/>
      <c r="AD34" s="3"/>
      <c r="AM34" s="26"/>
      <c r="AN34" s="533"/>
      <c r="AO34" s="380"/>
      <c r="AP34" s="380"/>
    </row>
    <row r="35" spans="1:43" s="4" customFormat="1" ht="12.75" customHeight="1">
      <c r="A35" s="37"/>
      <c r="C35" s="1398" t="s">
        <v>1865</v>
      </c>
      <c r="D35" s="1398"/>
      <c r="E35" s="1398"/>
      <c r="F35" s="1398"/>
      <c r="G35" s="1398"/>
      <c r="H35" s="1398"/>
      <c r="I35" s="1398"/>
      <c r="J35" s="1398"/>
      <c r="K35" s="1398"/>
      <c r="L35" s="1398"/>
      <c r="M35" s="1398"/>
      <c r="N35" s="1398"/>
      <c r="O35" s="1398"/>
      <c r="P35" s="1398"/>
      <c r="Q35" s="1398"/>
      <c r="R35" s="1398"/>
      <c r="S35" s="1398"/>
      <c r="T35" s="1398"/>
      <c r="U35" s="1398"/>
      <c r="V35" s="1398"/>
      <c r="W35" s="1398"/>
      <c r="X35" s="1398"/>
      <c r="Y35" s="1398"/>
      <c r="Z35" s="1398"/>
      <c r="AA35" s="1398"/>
      <c r="AB35" s="1398"/>
      <c r="AC35" s="1398"/>
      <c r="AD35" s="1398"/>
      <c r="AM35" s="26"/>
      <c r="AN35" s="243"/>
      <c r="AO35" s="296" t="s">
        <v>1856</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1868</v>
      </c>
      <c r="AP36" s="395">
        <v>2</v>
      </c>
    </row>
    <row r="37" spans="1:43" s="4" customFormat="1" ht="12.75" customHeight="1">
      <c r="A37" s="37"/>
      <c r="C37" s="20" t="s">
        <v>1869</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694" t="s">
        <v>826</v>
      </c>
      <c r="AD37" s="1694"/>
      <c r="AM37" s="26"/>
      <c r="AN37" s="243"/>
      <c r="AO37" s="296" t="s">
        <v>1870</v>
      </c>
      <c r="AP37" s="395">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6"/>
    </row>
    <row r="39" spans="1:43" s="4" customFormat="1" ht="12.75" customHeight="1">
      <c r="A39" s="37"/>
      <c r="C39" s="54" t="s">
        <v>1857</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908"/>
    </row>
    <row r="40" spans="1:43" s="4" customFormat="1" ht="12.75" customHeight="1">
      <c r="A40" s="37"/>
      <c r="C40" s="1398" t="s">
        <v>1870</v>
      </c>
      <c r="D40" s="1398"/>
      <c r="E40" s="1398"/>
      <c r="F40" s="1398"/>
      <c r="G40" s="1398"/>
      <c r="H40" s="1398"/>
      <c r="I40" s="1398"/>
      <c r="J40" s="1398"/>
      <c r="K40" s="1398"/>
      <c r="L40" s="1398"/>
      <c r="M40" s="1398"/>
      <c r="N40" s="1398"/>
      <c r="O40" s="1398"/>
      <c r="P40" s="1398"/>
      <c r="Q40" s="1398"/>
      <c r="R40" s="1398"/>
      <c r="S40" s="1398"/>
      <c r="T40" s="1398"/>
      <c r="U40" s="1398"/>
      <c r="V40" s="1398"/>
      <c r="W40" s="1398"/>
      <c r="X40" s="1398"/>
      <c r="Y40" s="1398"/>
      <c r="Z40" s="1398"/>
      <c r="AA40" s="1398"/>
      <c r="AB40" s="1398"/>
      <c r="AC40" s="1398"/>
      <c r="AD40" s="1398"/>
      <c r="AM40" s="26"/>
      <c r="AN40" s="243"/>
    </row>
    <row r="41" spans="1:43" s="4" customFormat="1" ht="12.75" customHeight="1">
      <c r="A41" s="37"/>
      <c r="B41" s="37"/>
      <c r="C41" s="20" t="s">
        <v>1871</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1872</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1873</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98" t="s">
        <v>1874</v>
      </c>
      <c r="D45" s="1398"/>
      <c r="E45" s="1398"/>
      <c r="F45" s="1398"/>
      <c r="G45" s="1398"/>
      <c r="H45" s="1398"/>
      <c r="I45" s="1398"/>
      <c r="J45" s="1398"/>
      <c r="K45" s="1398"/>
      <c r="L45" s="1398"/>
      <c r="M45" s="1398"/>
      <c r="N45" s="1398"/>
      <c r="O45" s="1398"/>
      <c r="P45" s="1398"/>
      <c r="Q45" s="1398"/>
      <c r="R45" s="1398"/>
      <c r="S45" s="1398"/>
      <c r="T45" s="1398"/>
      <c r="U45" s="1398"/>
      <c r="V45" s="1398"/>
      <c r="W45" s="1398"/>
      <c r="X45" s="1398"/>
      <c r="Y45" s="1398"/>
      <c r="Z45" s="1398"/>
      <c r="AA45" s="1398"/>
      <c r="AB45" s="1398"/>
      <c r="AC45" s="1398"/>
      <c r="AD45" s="1398"/>
      <c r="AM45" s="26"/>
      <c r="AN45" s="243"/>
      <c r="AP45" s="4" t="s">
        <v>1875</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913</v>
      </c>
      <c r="AQ46" s="4">
        <v>10</v>
      </c>
    </row>
    <row r="47" spans="1:43" s="4" customFormat="1" ht="12.75" customHeight="1">
      <c r="A47" s="76"/>
      <c r="B47" s="77"/>
      <c r="C47" s="77"/>
      <c r="D47" s="78"/>
      <c r="E47" s="77"/>
      <c r="F47" s="77"/>
      <c r="G47" s="77"/>
      <c r="H47" s="77"/>
      <c r="I47" s="77"/>
      <c r="J47" s="77"/>
      <c r="K47" s="77"/>
      <c r="L47" s="77"/>
      <c r="M47" s="77"/>
      <c r="N47" s="77"/>
      <c r="O47" s="77"/>
      <c r="P47" s="77"/>
      <c r="Q47" s="340"/>
      <c r="R47" s="909"/>
      <c r="S47" s="77"/>
      <c r="T47" s="77"/>
      <c r="U47" s="77"/>
      <c r="V47" s="77"/>
      <c r="W47" s="77"/>
      <c r="X47" s="77"/>
      <c r="Y47" s="77"/>
      <c r="Z47" s="77"/>
      <c r="AA47" s="77"/>
      <c r="AB47" s="77"/>
      <c r="AC47" s="77"/>
      <c r="AD47" s="77"/>
      <c r="AE47" s="77"/>
      <c r="AF47" s="77"/>
      <c r="AG47" s="77"/>
      <c r="AH47" s="77"/>
      <c r="AI47" s="53" t="s">
        <v>1876</v>
      </c>
      <c r="AJ47" s="1626">
        <f>IF((AND(AND(OR(Application!D211="Nonprofit (qualified nonprofit organization)",Application!D211="Nonprofit (homeless assistance)",Application!D211="Special Needs/SRO"),Application!D214="Special Needs"),$AC$37="N/A")),VLOOKUP($C$40,$AO$35:$AP$37,2,FALSE),VLOOKUP($C$35,$AO$29:$AP$32,2,FALSE))</f>
        <v>3</v>
      </c>
      <c r="AK47" s="1626"/>
      <c r="AL47" s="828"/>
      <c r="AM47" s="74"/>
      <c r="AN47" s="243"/>
      <c r="AP47" s="4" t="s">
        <v>1877</v>
      </c>
      <c r="AQ47" s="4">
        <v>10</v>
      </c>
    </row>
    <row r="48" spans="1:43" s="4" customFormat="1" ht="12.75" customHeight="1">
      <c r="A48" s="37"/>
      <c r="B48" s="827"/>
      <c r="R48" s="37"/>
      <c r="S48" s="827"/>
      <c r="AN48" s="243"/>
      <c r="AP48" s="4" t="s">
        <v>921</v>
      </c>
      <c r="AQ48" s="4">
        <v>10</v>
      </c>
    </row>
    <row r="49" spans="1:43" s="4" customFormat="1" ht="12.75" customHeight="1">
      <c r="B49" s="1582" t="s">
        <v>1878</v>
      </c>
      <c r="C49" s="1582"/>
      <c r="D49" s="1582"/>
      <c r="E49" s="1582"/>
      <c r="F49" s="1582"/>
      <c r="G49" s="1582"/>
      <c r="H49" s="1582"/>
      <c r="I49" s="1582"/>
      <c r="J49" s="1582"/>
      <c r="K49" s="1582"/>
      <c r="L49" s="1582"/>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83"/>
      <c r="AM49" s="26"/>
      <c r="AN49" s="243"/>
      <c r="AP49" s="4" t="s">
        <v>927</v>
      </c>
      <c r="AQ49" s="4">
        <v>10</v>
      </c>
    </row>
    <row r="50" spans="1:43" s="4" customFormat="1" ht="12.75" customHeight="1">
      <c r="A50" s="25"/>
      <c r="B50" s="1582"/>
      <c r="C50" s="1582"/>
      <c r="D50" s="1582"/>
      <c r="E50" s="1582"/>
      <c r="F50" s="1582"/>
      <c r="G50" s="1582"/>
      <c r="H50" s="1582"/>
      <c r="I50" s="1582"/>
      <c r="J50" s="1582"/>
      <c r="K50" s="1582"/>
      <c r="L50" s="1582"/>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83"/>
      <c r="AM50" s="26"/>
      <c r="AN50" s="243"/>
      <c r="AP50" s="4" t="s">
        <v>933</v>
      </c>
      <c r="AQ50" s="4">
        <v>10</v>
      </c>
    </row>
    <row r="51" spans="1:43" s="4" customFormat="1" ht="12.75" customHeight="1">
      <c r="A51" s="25"/>
      <c r="B51" s="1582"/>
      <c r="C51" s="1582"/>
      <c r="D51" s="1582"/>
      <c r="E51" s="1582"/>
      <c r="F51" s="1582"/>
      <c r="G51" s="1582"/>
      <c r="H51" s="1582"/>
      <c r="I51" s="1582"/>
      <c r="J51" s="1582"/>
      <c r="K51" s="1582"/>
      <c r="L51" s="1582"/>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83"/>
      <c r="AM51" s="26"/>
      <c r="AN51" s="243"/>
    </row>
    <row r="52" spans="1:43" s="4" customFormat="1" ht="12.75" customHeight="1">
      <c r="A52" s="25"/>
      <c r="B52" s="1582"/>
      <c r="C52" s="1582"/>
      <c r="D52" s="1582"/>
      <c r="E52" s="1582"/>
      <c r="F52" s="1582"/>
      <c r="G52" s="1582"/>
      <c r="H52" s="1582"/>
      <c r="I52" s="1582"/>
      <c r="J52" s="1582"/>
      <c r="K52" s="1582"/>
      <c r="L52" s="1582"/>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83"/>
      <c r="AM52" s="26"/>
      <c r="AN52" s="243"/>
    </row>
    <row r="53" spans="1:43" s="4" customFormat="1" ht="12.75" customHeight="1">
      <c r="A53" s="25"/>
      <c r="B53" s="1582"/>
      <c r="C53" s="1582"/>
      <c r="D53" s="1582"/>
      <c r="E53" s="1582"/>
      <c r="F53" s="1582"/>
      <c r="G53" s="1582"/>
      <c r="H53" s="1582"/>
      <c r="I53" s="1582"/>
      <c r="J53" s="1582"/>
      <c r="K53" s="1582"/>
      <c r="L53" s="1582"/>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83"/>
      <c r="AM53" s="26"/>
      <c r="AN53" s="243"/>
    </row>
    <row r="54" spans="1:43" s="4" customFormat="1" ht="12.75" customHeight="1">
      <c r="A54" s="25"/>
      <c r="B54" s="1582"/>
      <c r="C54" s="1582"/>
      <c r="D54" s="1582"/>
      <c r="E54" s="1582"/>
      <c r="F54" s="1582"/>
      <c r="G54" s="1582"/>
      <c r="H54" s="1582"/>
      <c r="I54" s="1582"/>
      <c r="J54" s="1582"/>
      <c r="K54" s="1582"/>
      <c r="L54" s="1582"/>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83"/>
      <c r="AM54" s="26"/>
      <c r="AN54" s="243"/>
    </row>
    <row r="55" spans="1:43" s="4" customFormat="1" ht="33.6" customHeight="1">
      <c r="A55" s="25"/>
      <c r="B55" s="1582"/>
      <c r="C55" s="1582"/>
      <c r="D55" s="1582"/>
      <c r="E55" s="1582"/>
      <c r="F55" s="1582"/>
      <c r="G55" s="1582"/>
      <c r="H55" s="1582"/>
      <c r="I55" s="1582"/>
      <c r="J55" s="1582"/>
      <c r="K55" s="1582"/>
      <c r="L55" s="1582"/>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357"/>
      <c r="B57" s="1582" t="s">
        <v>1879</v>
      </c>
      <c r="C57" s="1582"/>
      <c r="D57" s="1582"/>
      <c r="E57" s="1582"/>
      <c r="F57" s="1582"/>
      <c r="G57" s="1582"/>
      <c r="H57" s="1582"/>
      <c r="I57" s="1582"/>
      <c r="J57" s="1582"/>
      <c r="K57" s="1582"/>
      <c r="L57" s="1582"/>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83"/>
      <c r="AM57" s="26"/>
      <c r="AN57" s="243"/>
    </row>
    <row r="58" spans="1:43" s="4" customFormat="1" ht="12.75" customHeight="1">
      <c r="B58" s="1582"/>
      <c r="C58" s="1582"/>
      <c r="D58" s="1582"/>
      <c r="E58" s="1582"/>
      <c r="F58" s="1582"/>
      <c r="G58" s="1582"/>
      <c r="H58" s="1582"/>
      <c r="I58" s="1582"/>
      <c r="J58" s="1582"/>
      <c r="K58" s="1582"/>
      <c r="L58" s="1582"/>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83"/>
      <c r="AM58" s="26"/>
      <c r="AN58" s="243"/>
    </row>
    <row r="59" spans="1:43" s="4" customFormat="1" ht="23.1" customHeight="1">
      <c r="A59" s="357"/>
      <c r="B59" s="1582"/>
      <c r="C59" s="1582"/>
      <c r="D59" s="1582"/>
      <c r="E59" s="1582"/>
      <c r="F59" s="1582"/>
      <c r="G59" s="1582"/>
      <c r="H59" s="1582"/>
      <c r="I59" s="1582"/>
      <c r="J59" s="1582"/>
      <c r="K59" s="1582"/>
      <c r="L59" s="1582"/>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83"/>
      <c r="AM59" s="26"/>
      <c r="AN59" s="243"/>
    </row>
    <row r="60" spans="1:43"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3"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1880</v>
      </c>
      <c r="AK61" s="1209">
        <f>$AJ$31+$AJ$47</f>
        <v>10</v>
      </c>
      <c r="AL61" s="1210"/>
      <c r="AM61" s="1211"/>
      <c r="AN61" s="243"/>
    </row>
    <row r="62" spans="1:43" s="81" customFormat="1" ht="12.75" customHeight="1" thickBot="1">
      <c r="A62" s="867"/>
      <c r="B62" s="910"/>
    </row>
    <row r="63" spans="1:43"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3" s="4" customFormat="1" ht="12.75" customHeight="1">
      <c r="A64" s="56" t="s">
        <v>1881</v>
      </c>
      <c r="B64" s="266"/>
      <c r="C64" s="84"/>
      <c r="D64" s="85"/>
      <c r="E64" s="85"/>
      <c r="F64" s="85"/>
      <c r="G64" s="85"/>
      <c r="H64" s="85"/>
      <c r="I64" s="85"/>
      <c r="J64" s="85"/>
      <c r="Y64" s="86"/>
      <c r="Z64" s="86"/>
      <c r="AA64" s="86"/>
      <c r="AB64" s="86"/>
      <c r="AE64" s="1591" t="s">
        <v>1848</v>
      </c>
      <c r="AF64" s="1591"/>
      <c r="AG64" s="1591"/>
      <c r="AH64" s="1591"/>
      <c r="AI64" s="1591"/>
      <c r="AJ64" s="1591"/>
      <c r="AK64" s="1591"/>
      <c r="AL64" s="18"/>
      <c r="AN64" s="243"/>
    </row>
    <row r="65" spans="1:42" s="4" customFormat="1" ht="12.75" customHeight="1">
      <c r="A65" s="56"/>
      <c r="B65" s="266"/>
      <c r="C65" s="87"/>
      <c r="D65" s="85"/>
      <c r="E65" s="85"/>
      <c r="F65" s="85"/>
      <c r="G65" s="85"/>
      <c r="R65" s="86"/>
      <c r="S65" s="86"/>
      <c r="T65" s="86"/>
      <c r="U65" s="86"/>
      <c r="V65" s="86"/>
      <c r="W65" s="86"/>
      <c r="X65" s="86"/>
      <c r="Y65" s="86"/>
      <c r="Z65" s="86"/>
      <c r="AA65" s="86"/>
      <c r="AB65" s="86"/>
      <c r="AC65" s="18"/>
      <c r="AD65" s="18"/>
      <c r="AN65" s="243"/>
    </row>
    <row r="66" spans="1:42" s="4" customFormat="1" ht="12.75" customHeight="1">
      <c r="B66" s="1398" t="s">
        <v>921</v>
      </c>
      <c r="C66" s="1398"/>
      <c r="D66" s="1398"/>
      <c r="E66" s="1398"/>
      <c r="F66" s="1398"/>
      <c r="G66" s="1398"/>
      <c r="H66" s="1398"/>
      <c r="I66" s="1398"/>
      <c r="J66" s="1398"/>
      <c r="K66" s="1398"/>
      <c r="AF66" s="1593" t="s">
        <v>1882</v>
      </c>
      <c r="AG66" s="1593"/>
      <c r="AH66" s="1593"/>
      <c r="AI66" s="1593"/>
      <c r="AJ66" s="1593"/>
      <c r="AK66" s="1593"/>
      <c r="AL66" s="1593"/>
      <c r="AN66" s="243"/>
      <c r="AP66" s="4" t="s">
        <v>325</v>
      </c>
    </row>
    <row r="67" spans="1:42" s="4" customFormat="1" ht="12.75" customHeight="1">
      <c r="B67" s="1693" t="s">
        <v>1883</v>
      </c>
      <c r="C67" s="1693"/>
      <c r="D67" s="1693"/>
      <c r="E67" s="1693"/>
      <c r="F67" s="1693"/>
      <c r="G67" s="1693"/>
      <c r="H67" s="1693"/>
      <c r="I67" s="1693"/>
      <c r="J67" s="1693"/>
      <c r="K67" s="1693"/>
      <c r="L67" s="1693"/>
      <c r="M67" s="1693"/>
      <c r="N67" s="1693"/>
      <c r="O67" s="1693"/>
      <c r="P67" s="1693"/>
      <c r="Q67" s="1693"/>
      <c r="R67" s="1693"/>
      <c r="S67" s="1693"/>
      <c r="T67" s="1398" t="s">
        <v>325</v>
      </c>
      <c r="U67" s="1398"/>
      <c r="V67" s="1398"/>
      <c r="W67" s="1398"/>
      <c r="X67" s="1398"/>
      <c r="Y67" s="1398"/>
      <c r="Z67" s="1398"/>
      <c r="AA67" s="1398"/>
      <c r="AB67" s="1398"/>
      <c r="AC67" s="1398"/>
      <c r="AJ67" s="55"/>
      <c r="AK67" s="414"/>
      <c r="AL67" s="414"/>
      <c r="AM67" s="414"/>
      <c r="AN67" s="243"/>
      <c r="AP67" s="4" t="s">
        <v>1884</v>
      </c>
    </row>
    <row r="68" spans="1:42"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1885</v>
      </c>
      <c r="AK68" s="1192">
        <f>VLOOKUP($B$66,$AP$45:$AR$50,2,FALSE)</f>
        <v>10</v>
      </c>
      <c r="AL68" s="1193"/>
      <c r="AM68" s="1193"/>
      <c r="AN68" s="907"/>
      <c r="AP68" s="4" t="s">
        <v>1886</v>
      </c>
    </row>
    <row r="69" spans="1:42" s="4" customFormat="1" ht="12.75" customHeight="1" thickBot="1">
      <c r="A69" s="911"/>
      <c r="B69" s="911"/>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row>
    <row r="70" spans="1:42"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2" s="4" customFormat="1" ht="12.75" customHeight="1">
      <c r="A71" s="3" t="s">
        <v>1887</v>
      </c>
      <c r="B71" s="37"/>
      <c r="C71" s="3"/>
      <c r="AE71" s="3"/>
      <c r="AF71" s="3"/>
      <c r="AG71" s="3"/>
      <c r="AH71" s="3"/>
      <c r="AI71" s="3"/>
      <c r="AJ71" s="3"/>
      <c r="AK71" s="3"/>
      <c r="AL71" s="3"/>
      <c r="AN71" s="243"/>
    </row>
    <row r="72" spans="1:42" s="4" customFormat="1" ht="12.75" customHeight="1">
      <c r="A72" s="3"/>
      <c r="C72" s="3"/>
      <c r="AC72" s="18"/>
      <c r="AD72" s="18"/>
      <c r="AE72" s="18"/>
      <c r="AN72" s="243"/>
    </row>
    <row r="73" spans="1:42" s="4" customFormat="1" ht="12.75" customHeight="1">
      <c r="A73" s="90"/>
      <c r="B73" s="3" t="s">
        <v>1888</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591" t="s">
        <v>1889</v>
      </c>
      <c r="AF73" s="1591"/>
      <c r="AG73" s="1591"/>
      <c r="AH73" s="1591"/>
      <c r="AI73" s="1591"/>
      <c r="AJ73" s="1591"/>
      <c r="AK73" s="1591"/>
      <c r="AL73" s="18"/>
      <c r="AM73" s="26"/>
      <c r="AN73" s="243"/>
    </row>
    <row r="74" spans="1:42"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2" s="4" customFormat="1" ht="12.75" customHeight="1">
      <c r="A75" s="26"/>
      <c r="B75" s="1582" t="s">
        <v>1890</v>
      </c>
      <c r="C75" s="1582"/>
      <c r="D75" s="1582"/>
      <c r="E75" s="1582"/>
      <c r="F75" s="1582"/>
      <c r="G75" s="1582"/>
      <c r="H75" s="1582"/>
      <c r="I75" s="1582"/>
      <c r="J75" s="1582"/>
      <c r="K75" s="1582"/>
      <c r="L75" s="1582"/>
      <c r="M75" s="1582"/>
      <c r="N75" s="1582"/>
      <c r="O75" s="1582"/>
      <c r="P75" s="1582"/>
      <c r="Q75" s="1582"/>
      <c r="R75" s="1582"/>
      <c r="S75" s="1582"/>
      <c r="T75" s="1582"/>
      <c r="U75" s="1582"/>
      <c r="V75" s="1582"/>
      <c r="W75" s="1582"/>
      <c r="X75" s="1582"/>
      <c r="Y75" s="1582"/>
      <c r="Z75" s="1582"/>
      <c r="AA75" s="1582"/>
      <c r="AB75" s="1582"/>
      <c r="AC75" s="1582"/>
      <c r="AD75" s="1582"/>
      <c r="AE75" s="1582"/>
      <c r="AF75" s="1582"/>
      <c r="AG75" s="1582"/>
      <c r="AH75" s="1582"/>
      <c r="AI75" s="1582"/>
      <c r="AJ75" s="1582"/>
      <c r="AK75" s="1582"/>
      <c r="AL75" s="83"/>
      <c r="AM75" s="26"/>
      <c r="AN75" s="243"/>
    </row>
    <row r="76" spans="1:42" s="4" customFormat="1" ht="12.75" customHeight="1">
      <c r="A76" s="26"/>
      <c r="B76" s="1582"/>
      <c r="C76" s="1582"/>
      <c r="D76" s="1582"/>
      <c r="E76" s="1582"/>
      <c r="F76" s="1582"/>
      <c r="G76" s="1582"/>
      <c r="H76" s="1582"/>
      <c r="I76" s="1582"/>
      <c r="J76" s="1582"/>
      <c r="K76" s="1582"/>
      <c r="L76" s="1582"/>
      <c r="M76" s="1582"/>
      <c r="N76" s="1582"/>
      <c r="O76" s="1582"/>
      <c r="P76" s="1582"/>
      <c r="Q76" s="1582"/>
      <c r="R76" s="1582"/>
      <c r="S76" s="1582"/>
      <c r="T76" s="1582"/>
      <c r="U76" s="1582"/>
      <c r="V76" s="1582"/>
      <c r="W76" s="1582"/>
      <c r="X76" s="1582"/>
      <c r="Y76" s="1582"/>
      <c r="Z76" s="1582"/>
      <c r="AA76" s="1582"/>
      <c r="AB76" s="1582"/>
      <c r="AC76" s="1582"/>
      <c r="AD76" s="1582"/>
      <c r="AE76" s="1582"/>
      <c r="AF76" s="1582"/>
      <c r="AG76" s="1582"/>
      <c r="AH76" s="1582"/>
      <c r="AI76" s="1582"/>
      <c r="AJ76" s="1582"/>
      <c r="AK76" s="1582"/>
      <c r="AL76" s="83"/>
      <c r="AM76" s="26"/>
      <c r="AN76" s="243"/>
    </row>
    <row r="77" spans="1:42" s="4" customFormat="1" ht="12.75" customHeight="1">
      <c r="A77" s="26"/>
      <c r="B77" s="1582"/>
      <c r="C77" s="1582"/>
      <c r="D77" s="1582"/>
      <c r="E77" s="1582"/>
      <c r="F77" s="1582"/>
      <c r="G77" s="1582"/>
      <c r="H77" s="1582"/>
      <c r="I77" s="1582"/>
      <c r="J77" s="1582"/>
      <c r="K77" s="1582"/>
      <c r="L77" s="1582"/>
      <c r="M77" s="1582"/>
      <c r="N77" s="1582"/>
      <c r="O77" s="1582"/>
      <c r="P77" s="1582"/>
      <c r="Q77" s="1582"/>
      <c r="R77" s="1582"/>
      <c r="S77" s="1582"/>
      <c r="T77" s="1582"/>
      <c r="U77" s="1582"/>
      <c r="V77" s="1582"/>
      <c r="W77" s="1582"/>
      <c r="X77" s="1582"/>
      <c r="Y77" s="1582"/>
      <c r="Z77" s="1582"/>
      <c r="AA77" s="1582"/>
      <c r="AB77" s="1582"/>
      <c r="AC77" s="1582"/>
      <c r="AD77" s="1582"/>
      <c r="AE77" s="1582"/>
      <c r="AF77" s="1582"/>
      <c r="AG77" s="1582"/>
      <c r="AH77" s="1582"/>
      <c r="AI77" s="1582"/>
      <c r="AJ77" s="1582"/>
      <c r="AK77" s="1582"/>
      <c r="AL77" s="83"/>
      <c r="AM77" s="26"/>
      <c r="AN77" s="243"/>
    </row>
    <row r="78" spans="1:42" s="4" customFormat="1" ht="12.75" customHeight="1">
      <c r="A78" s="26"/>
      <c r="B78" s="1582"/>
      <c r="C78" s="1582"/>
      <c r="D78" s="1582"/>
      <c r="E78" s="1582"/>
      <c r="F78" s="1582"/>
      <c r="G78" s="1582"/>
      <c r="H78" s="1582"/>
      <c r="I78" s="1582"/>
      <c r="J78" s="1582"/>
      <c r="K78" s="1582"/>
      <c r="L78" s="1582"/>
      <c r="M78" s="1582"/>
      <c r="N78" s="1582"/>
      <c r="O78" s="1582"/>
      <c r="P78" s="1582"/>
      <c r="Q78" s="1582"/>
      <c r="R78" s="1582"/>
      <c r="S78" s="1582"/>
      <c r="T78" s="1582"/>
      <c r="U78" s="1582"/>
      <c r="V78" s="1582"/>
      <c r="W78" s="1582"/>
      <c r="X78" s="1582"/>
      <c r="Y78" s="1582"/>
      <c r="Z78" s="1582"/>
      <c r="AA78" s="1582"/>
      <c r="AB78" s="1582"/>
      <c r="AC78" s="1582"/>
      <c r="AD78" s="1582"/>
      <c r="AE78" s="1582"/>
      <c r="AF78" s="1582"/>
      <c r="AG78" s="1582"/>
      <c r="AH78" s="1582"/>
      <c r="AI78" s="1582"/>
      <c r="AJ78" s="1582"/>
      <c r="AK78" s="1582"/>
      <c r="AL78" s="83"/>
      <c r="AM78" s="26"/>
      <c r="AN78" s="243"/>
    </row>
    <row r="79" spans="1:42" s="4" customFormat="1" ht="12.75" customHeight="1">
      <c r="A79" s="26"/>
      <c r="B79" s="1582"/>
      <c r="C79" s="1582"/>
      <c r="D79" s="1582"/>
      <c r="E79" s="1582"/>
      <c r="F79" s="1582"/>
      <c r="G79" s="1582"/>
      <c r="H79" s="1582"/>
      <c r="I79" s="1582"/>
      <c r="J79" s="1582"/>
      <c r="K79" s="1582"/>
      <c r="L79" s="1582"/>
      <c r="M79" s="1582"/>
      <c r="N79" s="1582"/>
      <c r="O79" s="1582"/>
      <c r="P79" s="1582"/>
      <c r="Q79" s="1582"/>
      <c r="R79" s="1582"/>
      <c r="S79" s="1582"/>
      <c r="T79" s="1582"/>
      <c r="U79" s="1582"/>
      <c r="V79" s="1582"/>
      <c r="W79" s="1582"/>
      <c r="X79" s="1582"/>
      <c r="Y79" s="1582"/>
      <c r="Z79" s="1582"/>
      <c r="AA79" s="1582"/>
      <c r="AB79" s="1582"/>
      <c r="AC79" s="1582"/>
      <c r="AD79" s="1582"/>
      <c r="AE79" s="1582"/>
      <c r="AF79" s="1582"/>
      <c r="AG79" s="1582"/>
      <c r="AH79" s="1582"/>
      <c r="AI79" s="1582"/>
      <c r="AJ79" s="1582"/>
      <c r="AK79" s="1582"/>
      <c r="AL79" s="83"/>
      <c r="AM79" s="26"/>
      <c r="AN79" s="243"/>
    </row>
    <row r="80" spans="1:42" s="4" customFormat="1" ht="12.75" customHeight="1">
      <c r="A80" s="26"/>
      <c r="B80" s="1582"/>
      <c r="C80" s="1582"/>
      <c r="D80" s="1582"/>
      <c r="E80" s="1582"/>
      <c r="F80" s="1582"/>
      <c r="G80" s="1582"/>
      <c r="H80" s="1582"/>
      <c r="I80" s="1582"/>
      <c r="J80" s="1582"/>
      <c r="K80" s="1582"/>
      <c r="L80" s="1582"/>
      <c r="M80" s="1582"/>
      <c r="N80" s="1582"/>
      <c r="O80" s="1582"/>
      <c r="P80" s="1582"/>
      <c r="Q80" s="1582"/>
      <c r="R80" s="1582"/>
      <c r="S80" s="1582"/>
      <c r="T80" s="1582"/>
      <c r="U80" s="1582"/>
      <c r="V80" s="1582"/>
      <c r="W80" s="1582"/>
      <c r="X80" s="1582"/>
      <c r="Y80" s="1582"/>
      <c r="Z80" s="1582"/>
      <c r="AA80" s="1582"/>
      <c r="AB80" s="1582"/>
      <c r="AC80" s="1582"/>
      <c r="AD80" s="1582"/>
      <c r="AE80" s="1582"/>
      <c r="AF80" s="1582"/>
      <c r="AG80" s="1582"/>
      <c r="AH80" s="1582"/>
      <c r="AI80" s="1582"/>
      <c r="AJ80" s="1582"/>
      <c r="AK80" s="1582"/>
      <c r="AL80" s="83"/>
      <c r="AM80" s="26"/>
      <c r="AN80" s="243"/>
    </row>
    <row r="81" spans="1:42" ht="12.75" customHeight="1">
      <c r="A81" s="26"/>
      <c r="B81" s="1582"/>
      <c r="C81" s="1582"/>
      <c r="D81" s="1582"/>
      <c r="E81" s="1582"/>
      <c r="F81" s="1582"/>
      <c r="G81" s="1582"/>
      <c r="H81" s="1582"/>
      <c r="I81" s="1582"/>
      <c r="J81" s="1582"/>
      <c r="K81" s="1582"/>
      <c r="L81" s="1582"/>
      <c r="M81" s="1582"/>
      <c r="N81" s="1582"/>
      <c r="O81" s="1582"/>
      <c r="P81" s="1582"/>
      <c r="Q81" s="1582"/>
      <c r="R81" s="1582"/>
      <c r="S81" s="1582"/>
      <c r="T81" s="1582"/>
      <c r="U81" s="1582"/>
      <c r="V81" s="1582"/>
      <c r="W81" s="1582"/>
      <c r="X81" s="1582"/>
      <c r="Y81" s="1582"/>
      <c r="Z81" s="1582"/>
      <c r="AA81" s="1582"/>
      <c r="AB81" s="1582"/>
      <c r="AC81" s="1582"/>
      <c r="AD81" s="1582"/>
      <c r="AE81" s="1582"/>
      <c r="AF81" s="1582"/>
      <c r="AG81" s="1582"/>
      <c r="AH81" s="1582"/>
      <c r="AI81" s="1582"/>
      <c r="AJ81" s="1582"/>
      <c r="AK81" s="1582"/>
      <c r="AL81" s="83"/>
      <c r="AM81" s="26"/>
    </row>
    <row r="82" spans="1:42" s="4" customFormat="1" ht="12.75" customHeight="1">
      <c r="B82" s="1582"/>
      <c r="C82" s="1582"/>
      <c r="D82" s="1582"/>
      <c r="E82" s="1582"/>
      <c r="F82" s="1582"/>
      <c r="G82" s="1582"/>
      <c r="H82" s="1582"/>
      <c r="I82" s="1582"/>
      <c r="J82" s="1582"/>
      <c r="K82" s="1582"/>
      <c r="L82" s="1582"/>
      <c r="M82" s="1582"/>
      <c r="N82" s="1582"/>
      <c r="O82" s="1582"/>
      <c r="P82" s="1582"/>
      <c r="Q82" s="1582"/>
      <c r="R82" s="1582"/>
      <c r="S82" s="1582"/>
      <c r="T82" s="1582"/>
      <c r="U82" s="1582"/>
      <c r="V82" s="1582"/>
      <c r="W82" s="1582"/>
      <c r="X82" s="1582"/>
      <c r="Y82" s="1582"/>
      <c r="Z82" s="1582"/>
      <c r="AA82" s="1582"/>
      <c r="AB82" s="1582"/>
      <c r="AC82" s="1582"/>
      <c r="AD82" s="1582"/>
      <c r="AE82" s="1582"/>
      <c r="AF82" s="1582"/>
      <c r="AG82" s="1582"/>
      <c r="AH82" s="1582"/>
      <c r="AI82" s="1582"/>
      <c r="AJ82" s="1582"/>
      <c r="AK82" s="1582"/>
      <c r="AL82" s="83"/>
      <c r="AN82" s="243"/>
    </row>
    <row r="83" spans="1:42" s="4" customFormat="1" ht="12.75" customHeight="1">
      <c r="B83" s="1582"/>
      <c r="C83" s="1582"/>
      <c r="D83" s="1582"/>
      <c r="E83" s="1582"/>
      <c r="F83" s="1582"/>
      <c r="G83" s="1582"/>
      <c r="H83" s="1582"/>
      <c r="I83" s="1582"/>
      <c r="J83" s="1582"/>
      <c r="K83" s="1582"/>
      <c r="L83" s="1582"/>
      <c r="M83" s="1582"/>
      <c r="N83" s="1582"/>
      <c r="O83" s="1582"/>
      <c r="P83" s="1582"/>
      <c r="Q83" s="1582"/>
      <c r="R83" s="1582"/>
      <c r="S83" s="1582"/>
      <c r="T83" s="1582"/>
      <c r="U83" s="1582"/>
      <c r="V83" s="1582"/>
      <c r="W83" s="1582"/>
      <c r="X83" s="1582"/>
      <c r="Y83" s="1582"/>
      <c r="Z83" s="1582"/>
      <c r="AA83" s="1582"/>
      <c r="AB83" s="1582"/>
      <c r="AC83" s="1582"/>
      <c r="AD83" s="1582"/>
      <c r="AE83" s="1582"/>
      <c r="AF83" s="1582"/>
      <c r="AG83" s="1582"/>
      <c r="AH83" s="1582"/>
      <c r="AI83" s="1582"/>
      <c r="AJ83" s="1582"/>
      <c r="AK83" s="1582"/>
      <c r="AL83" s="83"/>
      <c r="AN83" s="243"/>
    </row>
    <row r="84" spans="1:42" s="4" customFormat="1" ht="14.85" customHeight="1">
      <c r="B84" s="1582"/>
      <c r="C84" s="1582"/>
      <c r="D84" s="1582"/>
      <c r="E84" s="1582"/>
      <c r="F84" s="1582"/>
      <c r="G84" s="1582"/>
      <c r="H84" s="1582"/>
      <c r="I84" s="1582"/>
      <c r="J84" s="1582"/>
      <c r="K84" s="1582"/>
      <c r="L84" s="1582"/>
      <c r="M84" s="1582"/>
      <c r="N84" s="1582"/>
      <c r="O84" s="1582"/>
      <c r="P84" s="1582"/>
      <c r="Q84" s="1582"/>
      <c r="R84" s="1582"/>
      <c r="S84" s="1582"/>
      <c r="T84" s="1582"/>
      <c r="U84" s="1582"/>
      <c r="V84" s="1582"/>
      <c r="W84" s="1582"/>
      <c r="X84" s="1582"/>
      <c r="Y84" s="1582"/>
      <c r="Z84" s="1582"/>
      <c r="AA84" s="1582"/>
      <c r="AB84" s="1582"/>
      <c r="AC84" s="1582"/>
      <c r="AD84" s="1582"/>
      <c r="AE84" s="1582"/>
      <c r="AF84" s="1582"/>
      <c r="AG84" s="1582"/>
      <c r="AH84" s="1582"/>
      <c r="AI84" s="1582"/>
      <c r="AJ84" s="1582"/>
      <c r="AK84" s="1582"/>
      <c r="AL84" s="83"/>
      <c r="AN84" s="243"/>
    </row>
    <row r="85" spans="1:42" s="4" customFormat="1" ht="12.75" customHeight="1">
      <c r="B85" s="1582"/>
      <c r="C85" s="1582"/>
      <c r="D85" s="1582"/>
      <c r="E85" s="1582"/>
      <c r="F85" s="1582"/>
      <c r="G85" s="1582"/>
      <c r="H85" s="1582"/>
      <c r="I85" s="1582"/>
      <c r="J85" s="1582"/>
      <c r="K85" s="1582"/>
      <c r="L85" s="1582"/>
      <c r="M85" s="1582"/>
      <c r="N85" s="1582"/>
      <c r="O85" s="1582"/>
      <c r="P85" s="1582"/>
      <c r="Q85" s="1582"/>
      <c r="R85" s="1582"/>
      <c r="S85" s="1582"/>
      <c r="T85" s="1582"/>
      <c r="U85" s="1582"/>
      <c r="V85" s="1582"/>
      <c r="W85" s="1582"/>
      <c r="X85" s="1582"/>
      <c r="Y85" s="1582"/>
      <c r="Z85" s="1582"/>
      <c r="AA85" s="1582"/>
      <c r="AB85" s="1582"/>
      <c r="AC85" s="1582"/>
      <c r="AD85" s="1582"/>
      <c r="AE85" s="1582"/>
      <c r="AF85" s="1582"/>
      <c r="AG85" s="1582"/>
      <c r="AH85" s="1582"/>
      <c r="AI85" s="1582"/>
      <c r="AJ85" s="1582"/>
      <c r="AK85" s="1582"/>
      <c r="AN85" s="243"/>
    </row>
    <row r="86" spans="1:42" s="4" customFormat="1" ht="12.75" customHeight="1">
      <c r="B86" s="25" t="s">
        <v>1891</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c r="AP86" s="4" t="s">
        <v>325</v>
      </c>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c r="AP87" s="4" t="s">
        <v>826</v>
      </c>
    </row>
    <row r="88" spans="1:42" s="4" customFormat="1" ht="12.75" customHeight="1">
      <c r="C88" s="3" t="s">
        <v>1892</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7" t="s">
        <v>1893</v>
      </c>
      <c r="F90" s="26"/>
      <c r="G90" s="26"/>
      <c r="H90" s="26"/>
      <c r="I90" s="26"/>
      <c r="J90" s="26"/>
      <c r="K90" s="26"/>
      <c r="L90" s="26"/>
      <c r="M90" s="26"/>
      <c r="N90" s="26"/>
      <c r="O90" s="26"/>
      <c r="P90" s="26"/>
      <c r="Q90" s="26"/>
      <c r="R90" s="26"/>
      <c r="S90" s="26"/>
      <c r="T90" s="26"/>
      <c r="U90" s="26"/>
      <c r="V90" s="26"/>
      <c r="W90" s="26"/>
      <c r="X90" s="26"/>
      <c r="Y90" s="26"/>
      <c r="Z90" s="26"/>
      <c r="AA90" s="26"/>
      <c r="AB90" s="26"/>
      <c r="AF90" s="1593" t="s">
        <v>1850</v>
      </c>
      <c r="AG90" s="1593"/>
      <c r="AH90" s="1593"/>
      <c r="AI90" s="1593"/>
      <c r="AJ90" s="1593"/>
      <c r="AK90" s="1593"/>
      <c r="AL90" s="1593"/>
      <c r="AN90" s="243"/>
    </row>
    <row r="91" spans="1:42" s="4" customFormat="1" ht="12.75" customHeight="1">
      <c r="C91" s="19"/>
      <c r="D91" s="25"/>
      <c r="E91" s="357" t="s">
        <v>1894</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7" t="s">
        <v>1895</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7" t="s">
        <v>1896</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row>
    <row r="94" spans="1:42" s="4" customFormat="1" ht="12.75" customHeight="1">
      <c r="C94" s="19"/>
      <c r="D94" s="25"/>
      <c r="E94" s="357"/>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row>
    <row r="95" spans="1:42" s="4" customFormat="1" ht="12.75" customHeight="1">
      <c r="A95" s="32"/>
      <c r="B95" s="37"/>
      <c r="C95" s="38"/>
      <c r="D95" s="25" t="s">
        <v>23</v>
      </c>
      <c r="E95" s="357" t="s">
        <v>1897</v>
      </c>
      <c r="F95" s="93"/>
      <c r="G95" s="93"/>
      <c r="H95" s="93"/>
      <c r="I95" s="93"/>
      <c r="J95" s="93"/>
      <c r="K95" s="93"/>
      <c r="L95" s="93"/>
      <c r="M95" s="93"/>
      <c r="N95" s="93"/>
      <c r="O95" s="93"/>
      <c r="P95" s="93"/>
      <c r="Q95" s="93"/>
      <c r="R95" s="93"/>
      <c r="S95" s="93"/>
      <c r="T95" s="93"/>
      <c r="U95" s="93"/>
      <c r="V95" s="93"/>
      <c r="W95" s="93"/>
      <c r="X95" s="93"/>
      <c r="Y95" s="93"/>
      <c r="Z95" s="93"/>
      <c r="AA95" s="93"/>
      <c r="AB95" s="93"/>
      <c r="AF95" s="1593" t="s">
        <v>1898</v>
      </c>
      <c r="AG95" s="1593"/>
      <c r="AH95" s="1593"/>
      <c r="AI95" s="1593"/>
      <c r="AJ95" s="1593"/>
      <c r="AK95" s="1593"/>
      <c r="AL95" s="1593"/>
      <c r="AN95" s="243"/>
    </row>
    <row r="96" spans="1:42" s="4" customFormat="1" ht="12.75" customHeight="1">
      <c r="B96" s="37"/>
      <c r="C96" s="94"/>
      <c r="D96" s="25"/>
      <c r="E96" s="357" t="s">
        <v>1899</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97">
        <v>0</v>
      </c>
    </row>
    <row r="97" spans="1:53" s="4" customFormat="1" ht="12.75" customHeight="1">
      <c r="B97" s="827"/>
      <c r="C97" s="38"/>
      <c r="D97" s="25"/>
      <c r="E97" s="357" t="s">
        <v>1900</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v>7</v>
      </c>
    </row>
    <row r="98" spans="1:53" s="4" customFormat="1" ht="12.75" customHeight="1">
      <c r="B98" s="827"/>
      <c r="C98" s="38"/>
      <c r="D98" s="25"/>
      <c r="E98" s="357" t="s">
        <v>1901</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27"/>
      <c r="C99" s="38"/>
      <c r="D99" s="25"/>
      <c r="E99" s="358"/>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7" t="s">
        <v>1902</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93" t="s">
        <v>1903</v>
      </c>
      <c r="AG100" s="1593"/>
      <c r="AH100" s="1593"/>
      <c r="AI100" s="1593"/>
      <c r="AJ100" s="1593"/>
      <c r="AK100" s="1593"/>
      <c r="AL100" s="1593"/>
      <c r="AN100" s="243"/>
      <c r="AO100" s="25" t="s">
        <v>1904</v>
      </c>
      <c r="AP100" s="4">
        <v>4</v>
      </c>
    </row>
    <row r="101" spans="1:53" s="4" customFormat="1" ht="12.75" customHeight="1">
      <c r="B101" s="37"/>
      <c r="C101" s="94"/>
      <c r="D101" s="25"/>
      <c r="E101" s="357" t="s">
        <v>1905</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1906</v>
      </c>
      <c r="AP101" s="4">
        <v>3</v>
      </c>
    </row>
    <row r="102" spans="1:53" s="4" customFormat="1" ht="12.75" customHeight="1">
      <c r="B102" s="37"/>
      <c r="C102" s="94"/>
      <c r="D102" s="25"/>
      <c r="E102" s="357" t="s">
        <v>1900</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7" t="s">
        <v>1901</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row>
    <row r="104" spans="1:53" s="4" customFormat="1" ht="12.75" customHeight="1">
      <c r="A104" s="21"/>
      <c r="B104" s="21"/>
      <c r="C104" s="21"/>
      <c r="D104" s="25"/>
      <c r="E104" s="35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row>
    <row r="105" spans="1:53" s="4" customFormat="1" ht="12.75" customHeight="1">
      <c r="B105" s="37"/>
      <c r="C105" s="38"/>
      <c r="D105" s="25" t="s">
        <v>1904</v>
      </c>
      <c r="E105" s="357" t="s">
        <v>1897</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93" t="s">
        <v>1907</v>
      </c>
      <c r="AG105" s="1593"/>
      <c r="AH105" s="1593"/>
      <c r="AI105" s="1593"/>
      <c r="AJ105" s="1593"/>
      <c r="AK105" s="1593"/>
      <c r="AL105" s="1593"/>
      <c r="AN105" s="243"/>
      <c r="AO105" s="4" t="str">
        <f>S133</f>
        <v>N/A</v>
      </c>
    </row>
    <row r="106" spans="1:53" s="4" customFormat="1" ht="12.75" customHeight="1">
      <c r="B106" s="37"/>
      <c r="C106" s="94"/>
      <c r="D106" s="25"/>
      <c r="E106" s="357" t="s">
        <v>1908</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27"/>
      <c r="C107" s="38"/>
      <c r="D107" s="25"/>
      <c r="E107" s="357" t="s">
        <v>1909</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1910</v>
      </c>
    </row>
    <row r="108" spans="1:53" s="4" customFormat="1" ht="12.75" customHeight="1">
      <c r="B108" s="827"/>
      <c r="C108" s="38"/>
      <c r="D108" s="25"/>
      <c r="E108" s="357"/>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1911</v>
      </c>
    </row>
    <row r="109" spans="1:53" s="4" customFormat="1" ht="12.75" customHeight="1">
      <c r="B109" s="37"/>
      <c r="C109" s="38"/>
      <c r="D109" s="25" t="s">
        <v>1906</v>
      </c>
      <c r="E109" s="357" t="s">
        <v>1902</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593" t="s">
        <v>1867</v>
      </c>
      <c r="AG109" s="1593"/>
      <c r="AH109" s="1593"/>
      <c r="AI109" s="1593"/>
      <c r="AJ109" s="1593"/>
      <c r="AK109" s="1593"/>
      <c r="AL109" s="1593"/>
      <c r="AN109" s="243"/>
      <c r="AO109" s="4" t="s">
        <v>1912</v>
      </c>
    </row>
    <row r="110" spans="1:53" s="4" customFormat="1" ht="12.75" customHeight="1">
      <c r="B110" s="37"/>
      <c r="C110" s="38"/>
      <c r="D110" s="25"/>
      <c r="E110" s="357" t="s">
        <v>1913</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D111" s="37"/>
      <c r="AN111" s="243"/>
      <c r="AO111" s="4" t="s">
        <v>325</v>
      </c>
      <c r="AP111" s="397">
        <v>0</v>
      </c>
      <c r="AT111" s="4" t="s">
        <v>325</v>
      </c>
      <c r="AU111" s="397">
        <v>0</v>
      </c>
    </row>
    <row r="112" spans="1:53" s="4" customFormat="1" ht="12.75" customHeight="1">
      <c r="B112" s="37"/>
      <c r="C112" s="94"/>
      <c r="D112" s="4" t="s">
        <v>1914</v>
      </c>
      <c r="E112" s="95"/>
      <c r="F112" s="95"/>
      <c r="G112" s="95"/>
      <c r="H112" s="1581" t="s">
        <v>1904</v>
      </c>
      <c r="I112" s="1581"/>
      <c r="J112" s="95"/>
      <c r="K112" s="95"/>
      <c r="L112" s="95"/>
      <c r="M112" s="95"/>
      <c r="O112" s="842" t="s">
        <v>1915</v>
      </c>
      <c r="T112" s="1697"/>
      <c r="U112" s="1697"/>
      <c r="V112" s="1697"/>
      <c r="W112" s="1697"/>
      <c r="X112" s="1697"/>
      <c r="Y112" s="1697"/>
      <c r="AN112" s="243"/>
      <c r="AO112" s="25" t="s">
        <v>18</v>
      </c>
      <c r="AP112" s="4">
        <v>3</v>
      </c>
      <c r="AT112" s="25" t="s">
        <v>18</v>
      </c>
      <c r="AU112" s="4">
        <v>3</v>
      </c>
    </row>
    <row r="113" spans="1:47" s="4" customFormat="1" ht="12.75" customHeight="1">
      <c r="B113" s="37"/>
      <c r="C113" s="94"/>
      <c r="E113" s="95"/>
      <c r="F113" s="95"/>
      <c r="G113" s="95"/>
      <c r="H113" s="95"/>
      <c r="I113" s="95"/>
      <c r="J113" s="95"/>
      <c r="K113" s="95"/>
      <c r="L113" s="95"/>
      <c r="M113" s="95"/>
      <c r="AN113" s="243"/>
      <c r="AO113" s="25" t="s">
        <v>23</v>
      </c>
      <c r="AP113" s="4">
        <v>2</v>
      </c>
      <c r="AT113" s="25" t="s">
        <v>23</v>
      </c>
      <c r="AU113" s="4">
        <v>2</v>
      </c>
    </row>
    <row r="114" spans="1:47" s="4" customFormat="1" ht="12.75" customHeight="1">
      <c r="B114" s="37"/>
      <c r="C114" s="94"/>
      <c r="D114" s="4" t="s">
        <v>1916</v>
      </c>
      <c r="E114" s="95"/>
      <c r="F114" s="95"/>
      <c r="G114" s="95"/>
      <c r="H114" s="95"/>
      <c r="I114" s="95"/>
      <c r="J114" s="95"/>
      <c r="K114" s="95"/>
      <c r="L114" s="95"/>
      <c r="M114" s="95"/>
      <c r="AN114" s="243"/>
    </row>
    <row r="115" spans="1:47" s="4" customFormat="1" ht="12.75" customHeight="1">
      <c r="B115" s="37"/>
      <c r="C115" s="94"/>
      <c r="D115" s="4" t="s">
        <v>1917</v>
      </c>
      <c r="E115" s="95"/>
      <c r="F115" s="95"/>
      <c r="G115" s="95"/>
      <c r="H115" s="95"/>
      <c r="I115" s="95"/>
      <c r="J115" s="95"/>
      <c r="K115" s="95"/>
      <c r="L115" s="95"/>
      <c r="M115" s="95"/>
      <c r="AN115" s="243"/>
    </row>
    <row r="116" spans="1:47" s="4" customFormat="1" ht="12.75" customHeight="1">
      <c r="B116" s="37"/>
      <c r="C116" s="94"/>
      <c r="D116" s="27" t="s">
        <v>1918</v>
      </c>
      <c r="E116" s="95"/>
      <c r="F116" s="95"/>
      <c r="G116" s="95"/>
      <c r="H116" s="95"/>
      <c r="I116" s="95"/>
      <c r="J116" s="95"/>
      <c r="K116" s="95"/>
      <c r="L116" s="95"/>
      <c r="M116" s="95"/>
      <c r="AN116" s="243"/>
      <c r="AO116" s="4" t="s">
        <v>325</v>
      </c>
      <c r="AP116" s="397">
        <v>0</v>
      </c>
    </row>
    <row r="117" spans="1:47" s="4" customFormat="1" ht="12.75" customHeight="1">
      <c r="B117" s="37"/>
      <c r="C117" s="94"/>
      <c r="D117" s="4" t="s">
        <v>1919</v>
      </c>
      <c r="AN117" s="243"/>
      <c r="AO117" s="4" t="s">
        <v>1920</v>
      </c>
      <c r="AP117" s="4">
        <v>3</v>
      </c>
    </row>
    <row r="118" spans="1:47" s="4" customFormat="1" ht="12.75" customHeight="1">
      <c r="B118" s="37"/>
      <c r="C118" s="94"/>
      <c r="E118" s="4" t="s">
        <v>1914</v>
      </c>
      <c r="F118" s="95"/>
      <c r="G118" s="95"/>
      <c r="H118" s="1696" t="s">
        <v>325</v>
      </c>
      <c r="I118" s="1696"/>
      <c r="J118" s="1696"/>
      <c r="K118" s="1696"/>
      <c r="L118" s="1696"/>
      <c r="M118" s="1696"/>
      <c r="N118" s="1696"/>
      <c r="O118" s="1696"/>
      <c r="P118" s="1696"/>
      <c r="Q118" s="1696"/>
      <c r="R118" s="1696"/>
      <c r="S118" s="1696"/>
      <c r="T118" s="1696"/>
      <c r="U118" s="1696"/>
      <c r="V118" s="1696"/>
      <c r="W118" s="1696"/>
      <c r="X118" s="1696"/>
      <c r="Y118" s="1696"/>
      <c r="Z118" s="1696"/>
      <c r="AA118" s="1696"/>
      <c r="AB118" s="1696"/>
      <c r="AC118" s="1696"/>
      <c r="AD118" s="1696"/>
      <c r="AE118" s="1696"/>
      <c r="AN118" s="243"/>
      <c r="AO118" s="4" t="s">
        <v>1921</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071" t="s">
        <v>325</v>
      </c>
      <c r="C120" s="1071"/>
      <c r="D120" s="42"/>
      <c r="E120" s="1582" t="s">
        <v>1922</v>
      </c>
      <c r="F120" s="1582"/>
      <c r="G120" s="1582"/>
      <c r="H120" s="1582"/>
      <c r="I120" s="1582"/>
      <c r="J120" s="1582"/>
      <c r="K120" s="1582"/>
      <c r="L120" s="1582"/>
      <c r="M120" s="1582"/>
      <c r="N120" s="1582"/>
      <c r="O120" s="1582"/>
      <c r="P120" s="1582"/>
      <c r="Q120" s="1582"/>
      <c r="R120" s="1582"/>
      <c r="S120" s="1582"/>
      <c r="T120" s="1582"/>
      <c r="U120" s="1582"/>
      <c r="V120" s="1582"/>
      <c r="W120" s="1582"/>
      <c r="X120" s="1582"/>
      <c r="Y120" s="1582"/>
      <c r="Z120" s="1582"/>
      <c r="AA120" s="1582"/>
      <c r="AB120" s="1582"/>
      <c r="AC120" s="1582"/>
      <c r="AD120" s="1582"/>
      <c r="AE120" s="1582"/>
      <c r="AF120" s="1582"/>
      <c r="AG120" s="1582"/>
      <c r="AH120" s="42"/>
      <c r="AI120" s="42"/>
      <c r="AJ120" s="42"/>
      <c r="AK120" s="42"/>
      <c r="AL120" s="42"/>
      <c r="AN120" s="243"/>
    </row>
    <row r="121" spans="1:47" s="4" customFormat="1" ht="12.75" customHeight="1">
      <c r="B121" s="37"/>
      <c r="C121" s="94"/>
      <c r="D121" s="42"/>
      <c r="E121" s="1582"/>
      <c r="F121" s="1582"/>
      <c r="G121" s="1582"/>
      <c r="H121" s="1582"/>
      <c r="I121" s="1582"/>
      <c r="J121" s="1582"/>
      <c r="K121" s="1582"/>
      <c r="L121" s="1582"/>
      <c r="M121" s="1582"/>
      <c r="N121" s="1582"/>
      <c r="O121" s="1582"/>
      <c r="P121" s="1582"/>
      <c r="Q121" s="1582"/>
      <c r="R121" s="1582"/>
      <c r="S121" s="1582"/>
      <c r="T121" s="1582"/>
      <c r="U121" s="1582"/>
      <c r="V121" s="1582"/>
      <c r="W121" s="1582"/>
      <c r="X121" s="1582"/>
      <c r="Y121" s="1582"/>
      <c r="Z121" s="1582"/>
      <c r="AA121" s="1582"/>
      <c r="AB121" s="1582"/>
      <c r="AC121" s="1582"/>
      <c r="AD121" s="1582"/>
      <c r="AE121" s="1582"/>
      <c r="AF121" s="1582"/>
      <c r="AG121" s="1582"/>
      <c r="AH121" s="42"/>
      <c r="AI121" s="42"/>
      <c r="AJ121" s="42"/>
      <c r="AK121" s="42"/>
      <c r="AL121" s="42"/>
      <c r="AN121" s="243"/>
    </row>
    <row r="122" spans="1:47" s="4" customFormat="1" ht="12.75" customHeight="1">
      <c r="B122" s="37"/>
      <c r="C122" s="94"/>
      <c r="D122" s="42"/>
      <c r="E122" s="1582"/>
      <c r="F122" s="1582"/>
      <c r="G122" s="1582"/>
      <c r="H122" s="1582"/>
      <c r="I122" s="1582"/>
      <c r="J122" s="1582"/>
      <c r="K122" s="1582"/>
      <c r="L122" s="1582"/>
      <c r="M122" s="1582"/>
      <c r="N122" s="1582"/>
      <c r="O122" s="1582"/>
      <c r="P122" s="1582"/>
      <c r="Q122" s="1582"/>
      <c r="R122" s="1582"/>
      <c r="S122" s="1582"/>
      <c r="T122" s="1582"/>
      <c r="U122" s="1582"/>
      <c r="V122" s="1582"/>
      <c r="W122" s="1582"/>
      <c r="X122" s="1582"/>
      <c r="Y122" s="1582"/>
      <c r="Z122" s="1582"/>
      <c r="AA122" s="1582"/>
      <c r="AB122" s="1582"/>
      <c r="AC122" s="1582"/>
      <c r="AD122" s="1582"/>
      <c r="AE122" s="1582"/>
      <c r="AF122" s="1582"/>
      <c r="AG122" s="1582"/>
      <c r="AH122" s="42"/>
      <c r="AI122" s="42"/>
      <c r="AJ122" s="42"/>
      <c r="AK122" s="42"/>
      <c r="AL122" s="42"/>
      <c r="AN122" s="243"/>
    </row>
    <row r="123" spans="1:47" s="4" customFormat="1" ht="12.75" customHeight="1">
      <c r="B123" s="37"/>
      <c r="C123" s="94"/>
      <c r="D123" s="255"/>
      <c r="E123" s="1618"/>
      <c r="F123" s="1618"/>
      <c r="G123" s="1618"/>
      <c r="H123" s="1618"/>
      <c r="I123" s="1618"/>
      <c r="J123" s="1618"/>
      <c r="K123" s="1618"/>
      <c r="L123" s="1618"/>
      <c r="M123" s="1618"/>
      <c r="N123" s="1618"/>
      <c r="O123" s="1618"/>
      <c r="P123" s="1618"/>
      <c r="Q123" s="1618"/>
      <c r="R123" s="1618"/>
      <c r="S123" s="1618"/>
      <c r="T123" s="1618"/>
      <c r="U123" s="1618"/>
      <c r="V123" s="1618"/>
      <c r="W123" s="1618"/>
      <c r="X123" s="1618"/>
      <c r="Y123" s="1618"/>
      <c r="Z123" s="1618"/>
      <c r="AA123" s="1618"/>
      <c r="AB123" s="1618"/>
      <c r="AC123" s="1618"/>
      <c r="AD123" s="1618"/>
      <c r="AE123" s="1618"/>
      <c r="AF123" s="1618"/>
      <c r="AG123" s="1618"/>
      <c r="AH123" s="255"/>
      <c r="AI123" s="255"/>
      <c r="AJ123" s="255"/>
      <c r="AK123" s="255"/>
      <c r="AL123" s="42"/>
      <c r="AN123" s="243"/>
    </row>
    <row r="124" spans="1:47" s="4" customFormat="1" ht="12.75" customHeight="1">
      <c r="A124" s="76"/>
      <c r="B124" s="340"/>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40"/>
      <c r="AD124" s="77"/>
      <c r="AE124" s="77"/>
      <c r="AF124" s="77"/>
      <c r="AG124" s="77"/>
      <c r="AH124" s="77"/>
      <c r="AI124" s="53" t="s">
        <v>1923</v>
      </c>
      <c r="AJ124" s="1192">
        <f>VLOOKUP($H$112,$AO$96:$AP$101,2,FALSE)+IF(T112=AO108,0,VLOOKUP($H$118,$AO$116:$AP$118,2,FALSE))</f>
        <v>4</v>
      </c>
      <c r="AK124" s="1195"/>
      <c r="AL124" s="414"/>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1924</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27"/>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695" t="s">
        <v>1925</v>
      </c>
      <c r="F128" s="1695"/>
      <c r="G128" s="1695"/>
      <c r="H128" s="1695"/>
      <c r="I128" s="1695"/>
      <c r="J128" s="1695"/>
      <c r="K128" s="1695"/>
      <c r="L128" s="1695"/>
      <c r="M128" s="1695"/>
      <c r="N128" s="1695"/>
      <c r="O128" s="1695"/>
      <c r="P128" s="1695"/>
      <c r="Q128" s="1695"/>
      <c r="R128" s="1695"/>
      <c r="S128" s="1695"/>
      <c r="T128" s="1695"/>
      <c r="U128" s="1695"/>
      <c r="V128" s="1695"/>
      <c r="W128" s="1695"/>
      <c r="X128" s="1695"/>
      <c r="Y128" s="1695"/>
      <c r="Z128" s="1695"/>
      <c r="AA128" s="1695"/>
      <c r="AB128" s="1695"/>
      <c r="AC128" s="1695"/>
      <c r="AD128" s="1695"/>
      <c r="AF128" s="1593" t="s">
        <v>1867</v>
      </c>
      <c r="AG128" s="1593"/>
      <c r="AH128" s="1593"/>
      <c r="AI128" s="1593"/>
      <c r="AJ128" s="1593"/>
      <c r="AK128" s="1593"/>
      <c r="AL128" s="1593"/>
      <c r="AM128" s="4"/>
      <c r="AN128" s="254"/>
    </row>
    <row r="129" spans="1:42" s="4" customFormat="1" ht="12.75" customHeight="1">
      <c r="A129" s="99"/>
      <c r="B129" s="37"/>
      <c r="C129" s="94"/>
      <c r="D129" s="25"/>
      <c r="E129" s="1695"/>
      <c r="F129" s="1695"/>
      <c r="G129" s="1695"/>
      <c r="H129" s="1695"/>
      <c r="I129" s="1695"/>
      <c r="J129" s="1695"/>
      <c r="K129" s="1695"/>
      <c r="L129" s="1695"/>
      <c r="M129" s="1695"/>
      <c r="N129" s="1695"/>
      <c r="O129" s="1695"/>
      <c r="P129" s="1695"/>
      <c r="Q129" s="1695"/>
      <c r="R129" s="1695"/>
      <c r="S129" s="1695"/>
      <c r="T129" s="1695"/>
      <c r="U129" s="1695"/>
      <c r="V129" s="1695"/>
      <c r="W129" s="1695"/>
      <c r="X129" s="1695"/>
      <c r="Y129" s="1695"/>
      <c r="Z129" s="1695"/>
      <c r="AA129" s="1695"/>
      <c r="AB129" s="1695"/>
      <c r="AC129" s="1695"/>
      <c r="AD129" s="1695"/>
      <c r="AF129" s="37"/>
      <c r="AN129" s="243"/>
    </row>
    <row r="130" spans="1:42" s="4" customFormat="1" ht="12.75" customHeight="1">
      <c r="B130" s="37"/>
      <c r="C130" s="38"/>
      <c r="D130" s="25"/>
      <c r="E130" s="1695"/>
      <c r="F130" s="1695"/>
      <c r="G130" s="1695"/>
      <c r="H130" s="1695"/>
      <c r="I130" s="1695"/>
      <c r="J130" s="1695"/>
      <c r="K130" s="1695"/>
      <c r="L130" s="1695"/>
      <c r="M130" s="1695"/>
      <c r="N130" s="1695"/>
      <c r="O130" s="1695"/>
      <c r="P130" s="1695"/>
      <c r="Q130" s="1695"/>
      <c r="R130" s="1695"/>
      <c r="S130" s="1695"/>
      <c r="T130" s="1695"/>
      <c r="U130" s="1695"/>
      <c r="V130" s="1695"/>
      <c r="W130" s="1695"/>
      <c r="X130" s="1695"/>
      <c r="Y130" s="1695"/>
      <c r="Z130" s="1695"/>
      <c r="AA130" s="1695"/>
      <c r="AB130" s="1695"/>
      <c r="AC130" s="1695"/>
      <c r="AD130" s="1695"/>
      <c r="AF130" s="37"/>
      <c r="AN130" s="243"/>
    </row>
    <row r="131" spans="1:42" s="4" customFormat="1" ht="12.75" customHeight="1">
      <c r="A131" s="32"/>
      <c r="B131" s="266"/>
      <c r="C131" s="100"/>
      <c r="D131" s="25"/>
      <c r="E131" s="1695"/>
      <c r="F131" s="1695"/>
      <c r="G131" s="1695"/>
      <c r="H131" s="1695"/>
      <c r="I131" s="1695"/>
      <c r="J131" s="1695"/>
      <c r="K131" s="1695"/>
      <c r="L131" s="1695"/>
      <c r="M131" s="1695"/>
      <c r="N131" s="1695"/>
      <c r="O131" s="1695"/>
      <c r="P131" s="1695"/>
      <c r="Q131" s="1695"/>
      <c r="R131" s="1695"/>
      <c r="S131" s="1695"/>
      <c r="T131" s="1695"/>
      <c r="U131" s="1695"/>
      <c r="V131" s="1695"/>
      <c r="W131" s="1695"/>
      <c r="X131" s="1695"/>
      <c r="Y131" s="1695"/>
      <c r="Z131" s="1695"/>
      <c r="AA131" s="1695"/>
      <c r="AB131" s="1695"/>
      <c r="AC131" s="1695"/>
      <c r="AD131" s="1695"/>
      <c r="AE131" s="19"/>
      <c r="AF131" s="266"/>
      <c r="AG131" s="19"/>
      <c r="AH131" s="19"/>
      <c r="AI131" s="19"/>
      <c r="AJ131" s="19"/>
      <c r="AN131" s="243"/>
    </row>
    <row r="132" spans="1:42" s="4" customFormat="1" ht="23.1" customHeight="1">
      <c r="B132" s="266"/>
      <c r="C132" s="100"/>
      <c r="D132" s="25"/>
      <c r="E132" s="1695"/>
      <c r="F132" s="1695"/>
      <c r="G132" s="1695"/>
      <c r="H132" s="1695"/>
      <c r="I132" s="1695"/>
      <c r="J132" s="1695"/>
      <c r="K132" s="1695"/>
      <c r="L132" s="1695"/>
      <c r="M132" s="1695"/>
      <c r="N132" s="1695"/>
      <c r="O132" s="1695"/>
      <c r="P132" s="1695"/>
      <c r="Q132" s="1695"/>
      <c r="R132" s="1695"/>
      <c r="S132" s="1695"/>
      <c r="T132" s="1695"/>
      <c r="U132" s="1695"/>
      <c r="V132" s="1695"/>
      <c r="W132" s="1695"/>
      <c r="X132" s="1695"/>
      <c r="Y132" s="1695"/>
      <c r="Z132" s="1695"/>
      <c r="AA132" s="1695"/>
      <c r="AB132" s="1695"/>
      <c r="AC132" s="1695"/>
      <c r="AD132" s="1695"/>
      <c r="AE132" s="19"/>
      <c r="AF132" s="266"/>
      <c r="AG132" s="19"/>
      <c r="AH132" s="19"/>
      <c r="AI132" s="19"/>
      <c r="AJ132" s="19"/>
      <c r="AN132" s="243"/>
      <c r="AO132" s="4" t="s">
        <v>325</v>
      </c>
      <c r="AP132" s="397">
        <v>0</v>
      </c>
    </row>
    <row r="133" spans="1:42" s="4" customFormat="1" ht="12.75" customHeight="1">
      <c r="B133" s="266"/>
      <c r="C133" s="38"/>
      <c r="D133" s="25"/>
      <c r="E133" s="19" t="s">
        <v>1926</v>
      </c>
      <c r="F133" s="596"/>
      <c r="G133" s="596"/>
      <c r="H133" s="596"/>
      <c r="I133" s="596"/>
      <c r="J133" s="596"/>
      <c r="K133" s="596"/>
      <c r="L133" s="596"/>
      <c r="M133" s="596"/>
      <c r="N133" s="596"/>
      <c r="O133" s="596"/>
      <c r="P133" s="596"/>
      <c r="Q133" s="596"/>
      <c r="R133" s="596"/>
      <c r="S133" s="1694" t="s">
        <v>325</v>
      </c>
      <c r="T133" s="1694"/>
      <c r="U133" s="596"/>
      <c r="V133" s="596"/>
      <c r="W133" s="596"/>
      <c r="X133" s="596"/>
      <c r="Y133" s="596"/>
      <c r="Z133" s="596"/>
      <c r="AA133" s="596"/>
      <c r="AB133" s="596"/>
      <c r="AC133" s="596"/>
      <c r="AD133" s="596"/>
      <c r="AF133" s="266"/>
      <c r="AG133" s="19"/>
      <c r="AH133" s="19"/>
      <c r="AI133" s="19"/>
      <c r="AJ133" s="19"/>
      <c r="AN133" s="243"/>
      <c r="AO133" s="25" t="s">
        <v>18</v>
      </c>
      <c r="AP133" s="4">
        <v>5</v>
      </c>
    </row>
    <row r="134" spans="1:42" s="4" customFormat="1" ht="12.75" customHeight="1">
      <c r="B134" s="266"/>
      <c r="C134" s="100"/>
      <c r="W134" s="19"/>
      <c r="X134" s="19"/>
      <c r="Y134" s="19"/>
      <c r="Z134" s="19"/>
      <c r="AA134" s="19"/>
      <c r="AB134" s="19"/>
      <c r="AN134" s="243"/>
      <c r="AO134" s="25" t="s">
        <v>23</v>
      </c>
      <c r="AP134" s="106">
        <v>4</v>
      </c>
    </row>
    <row r="135" spans="1:42" s="4" customFormat="1" ht="12.75" customHeight="1">
      <c r="B135" s="37"/>
      <c r="C135" s="38"/>
      <c r="D135" s="25" t="s">
        <v>23</v>
      </c>
      <c r="E135" s="284" t="s">
        <v>1927</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593" t="s">
        <v>1928</v>
      </c>
      <c r="AG135" s="1593"/>
      <c r="AH135" s="1593"/>
      <c r="AI135" s="1593"/>
      <c r="AJ135" s="1593"/>
      <c r="AK135" s="1593"/>
      <c r="AL135" s="1593"/>
      <c r="AN135" s="243"/>
      <c r="AO135" s="25" t="s">
        <v>43</v>
      </c>
      <c r="AP135" s="4">
        <v>3</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c r="AO136" s="25" t="s">
        <v>1904</v>
      </c>
      <c r="AP136" s="106">
        <v>4</v>
      </c>
    </row>
    <row r="137" spans="1:42" s="4" customFormat="1" ht="12.75" customHeight="1">
      <c r="B137" s="37"/>
      <c r="C137" s="38"/>
      <c r="D137" s="4" t="s">
        <v>1914</v>
      </c>
      <c r="E137" s="95"/>
      <c r="F137" s="95"/>
      <c r="G137" s="95"/>
      <c r="H137" s="1581" t="s">
        <v>325</v>
      </c>
      <c r="I137" s="1581"/>
      <c r="J137" s="101"/>
      <c r="K137" s="101"/>
      <c r="L137" s="101"/>
      <c r="M137" s="101"/>
      <c r="N137" s="101"/>
      <c r="O137" s="101"/>
      <c r="P137" s="101"/>
      <c r="Q137" s="101"/>
      <c r="R137" s="101"/>
      <c r="S137" s="101"/>
      <c r="T137" s="101"/>
      <c r="U137" s="95"/>
      <c r="V137" s="95"/>
      <c r="W137" s="95"/>
      <c r="AN137" s="243"/>
      <c r="AO137" s="25" t="s">
        <v>1906</v>
      </c>
      <c r="AP137" s="4">
        <v>3</v>
      </c>
    </row>
    <row r="138" spans="1:42" s="4" customFormat="1" ht="12.75" customHeight="1">
      <c r="B138" s="37"/>
      <c r="C138" s="38"/>
      <c r="E138" s="95"/>
      <c r="F138" s="101"/>
      <c r="G138" s="101"/>
      <c r="H138" s="101"/>
      <c r="I138" s="43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c r="AO138" s="25" t="s">
        <v>1929</v>
      </c>
      <c r="AP138" s="4">
        <v>2</v>
      </c>
    </row>
    <row r="139" spans="1:42" s="4" customFormat="1" ht="12.75" customHeight="1">
      <c r="A139" s="76"/>
      <c r="B139" s="340"/>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40"/>
      <c r="AD139" s="77"/>
      <c r="AE139" s="77"/>
      <c r="AF139" s="77"/>
      <c r="AG139" s="77"/>
      <c r="AH139" s="77"/>
      <c r="AI139" s="53" t="s">
        <v>1930</v>
      </c>
      <c r="AJ139" s="1192">
        <f>VLOOKUP($H$137,$AO$111:$AP$113,2,FALSE)</f>
        <v>0</v>
      </c>
      <c r="AK139" s="1195"/>
      <c r="AL139" s="414"/>
      <c r="AN139" s="243"/>
      <c r="AO139" s="25" t="s">
        <v>1931</v>
      </c>
      <c r="AP139" s="4">
        <v>1</v>
      </c>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row>
    <row r="141" spans="1:42" s="4" customFormat="1" ht="12.75" customHeight="1">
      <c r="B141" s="37"/>
      <c r="C141" s="3" t="s">
        <v>1932</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row>
    <row r="143" spans="1:42" s="4" customFormat="1" ht="12.75" customHeight="1">
      <c r="D143" s="25" t="s">
        <v>18</v>
      </c>
      <c r="E143" s="19" t="s">
        <v>1933</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593" t="s">
        <v>1867</v>
      </c>
      <c r="AG143" s="1593"/>
      <c r="AH143" s="1593"/>
      <c r="AI143" s="1593"/>
      <c r="AJ143" s="1593"/>
      <c r="AK143" s="1593"/>
      <c r="AL143" s="1593"/>
      <c r="AN143" s="243"/>
    </row>
    <row r="144" spans="1:42" s="4" customFormat="1" ht="12.75" customHeight="1">
      <c r="D144" s="25"/>
      <c r="E144" s="19" t="s">
        <v>1934</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1935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93" t="s">
        <v>1928</v>
      </c>
      <c r="AG146" s="1593"/>
      <c r="AH146" s="1593"/>
      <c r="AI146" s="1593"/>
      <c r="AJ146" s="1593"/>
      <c r="AK146" s="1593"/>
      <c r="AL146" s="1593"/>
      <c r="AN146" s="243"/>
    </row>
    <row r="147" spans="1:42" s="4" customFormat="1" ht="12.75" customHeight="1">
      <c r="B147" s="37"/>
      <c r="C147" s="38"/>
      <c r="D147" s="25"/>
      <c r="E147" s="19" t="s">
        <v>1936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1914</v>
      </c>
      <c r="E149" s="95"/>
      <c r="F149" s="95"/>
      <c r="G149" s="95"/>
      <c r="H149" s="1581" t="s">
        <v>18</v>
      </c>
      <c r="I149" s="1581"/>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40"/>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40"/>
      <c r="AD151" s="77"/>
      <c r="AE151" s="77"/>
      <c r="AF151" s="77"/>
      <c r="AG151" s="77"/>
      <c r="AH151" s="77"/>
      <c r="AI151" s="53" t="s">
        <v>1937</v>
      </c>
      <c r="AJ151" s="1192">
        <f>VLOOKUP(H149,AT111:AU113,2,FALSE)</f>
        <v>3</v>
      </c>
      <c r="AK151" s="1195"/>
      <c r="AL151" s="414"/>
      <c r="AN151" s="243"/>
      <c r="AO151" s="4" t="s">
        <v>325</v>
      </c>
      <c r="AP151" s="397">
        <v>0</v>
      </c>
    </row>
    <row r="152" spans="1:42" s="4" customFormat="1" ht="12.75" customHeight="1">
      <c r="B152" s="37"/>
      <c r="C152" s="38"/>
      <c r="AN152" s="243"/>
      <c r="AO152" s="25" t="s">
        <v>18</v>
      </c>
      <c r="AP152" s="4">
        <v>3</v>
      </c>
    </row>
    <row r="153" spans="1:42" s="4" customFormat="1" ht="12.75" customHeight="1">
      <c r="C153" s="3" t="s">
        <v>1938</v>
      </c>
      <c r="AN153" s="243"/>
      <c r="AO153" s="25" t="s">
        <v>23</v>
      </c>
      <c r="AP153" s="4">
        <v>2</v>
      </c>
    </row>
    <row r="154" spans="1:42" s="4" customFormat="1" ht="12.75" customHeight="1">
      <c r="C154" s="3"/>
      <c r="D154" s="231" t="s">
        <v>1939</v>
      </c>
      <c r="AN154" s="243"/>
    </row>
    <row r="155" spans="1:42" s="4" customFormat="1" ht="12.75" customHeight="1">
      <c r="C155" s="3"/>
      <c r="AN155" s="243"/>
    </row>
    <row r="156" spans="1:42" s="4" customFormat="1" ht="12.75" customHeight="1">
      <c r="C156" s="3"/>
      <c r="D156" s="25" t="s">
        <v>18</v>
      </c>
      <c r="E156" s="1582" t="s">
        <v>1940</v>
      </c>
      <c r="F156" s="1582"/>
      <c r="G156" s="1582"/>
      <c r="H156" s="1582"/>
      <c r="I156" s="1582"/>
      <c r="J156" s="1582"/>
      <c r="K156" s="1582"/>
      <c r="L156" s="1582"/>
      <c r="M156" s="1582"/>
      <c r="N156" s="1582"/>
      <c r="O156" s="1582"/>
      <c r="P156" s="1582"/>
      <c r="Q156" s="1582"/>
      <c r="R156" s="1582"/>
      <c r="S156" s="1582"/>
      <c r="T156" s="1582"/>
      <c r="U156" s="1582"/>
      <c r="V156" s="1582"/>
      <c r="W156" s="1582"/>
      <c r="X156" s="1582"/>
      <c r="Y156" s="1582"/>
      <c r="Z156" s="1582"/>
      <c r="AA156" s="1582"/>
      <c r="AB156" s="1582"/>
      <c r="AC156" s="1582"/>
      <c r="AF156" s="1593" t="s">
        <v>1903</v>
      </c>
      <c r="AG156" s="1593"/>
      <c r="AH156" s="1593"/>
      <c r="AI156" s="1593"/>
      <c r="AJ156" s="1593"/>
      <c r="AK156" s="1593"/>
      <c r="AL156" s="1593"/>
      <c r="AN156" s="243"/>
    </row>
    <row r="157" spans="1:42" s="4" customFormat="1" ht="12.75" customHeight="1">
      <c r="C157" s="3"/>
      <c r="E157" s="1582"/>
      <c r="F157" s="1582"/>
      <c r="G157" s="1582"/>
      <c r="H157" s="1582"/>
      <c r="I157" s="1582"/>
      <c r="J157" s="1582"/>
      <c r="K157" s="1582"/>
      <c r="L157" s="1582"/>
      <c r="M157" s="1582"/>
      <c r="N157" s="1582"/>
      <c r="O157" s="1582"/>
      <c r="P157" s="1582"/>
      <c r="Q157" s="1582"/>
      <c r="R157" s="1582"/>
      <c r="S157" s="1582"/>
      <c r="T157" s="1582"/>
      <c r="U157" s="1582"/>
      <c r="V157" s="1582"/>
      <c r="W157" s="1582"/>
      <c r="X157" s="1582"/>
      <c r="Y157" s="1582"/>
      <c r="Z157" s="1582"/>
      <c r="AA157" s="1582"/>
      <c r="AB157" s="1582"/>
      <c r="AC157" s="1582"/>
      <c r="AN157" s="243"/>
    </row>
    <row r="158" spans="1:42" s="4" customFormat="1" ht="12.75" customHeight="1">
      <c r="C158" s="3"/>
      <c r="D158" s="25"/>
      <c r="E158" s="1582"/>
      <c r="F158" s="1582"/>
      <c r="G158" s="1582"/>
      <c r="H158" s="1582"/>
      <c r="I158" s="1582"/>
      <c r="J158" s="1582"/>
      <c r="K158" s="1582"/>
      <c r="L158" s="1582"/>
      <c r="M158" s="1582"/>
      <c r="N158" s="1582"/>
      <c r="O158" s="1582"/>
      <c r="P158" s="1582"/>
      <c r="Q158" s="1582"/>
      <c r="R158" s="1582"/>
      <c r="S158" s="1582"/>
      <c r="T158" s="1582"/>
      <c r="U158" s="1582"/>
      <c r="V158" s="1582"/>
      <c r="W158" s="1582"/>
      <c r="X158" s="1582"/>
      <c r="Y158" s="1582"/>
      <c r="Z158" s="1582"/>
      <c r="AA158" s="1582"/>
      <c r="AB158" s="1582"/>
      <c r="AC158" s="15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N159" s="243"/>
    </row>
    <row r="160" spans="1:42" s="4" customFormat="1" ht="12.75" customHeight="1">
      <c r="C160" s="3"/>
      <c r="D160" s="25" t="s">
        <v>23</v>
      </c>
      <c r="E160" s="1582" t="s">
        <v>1941</v>
      </c>
      <c r="F160" s="1582"/>
      <c r="G160" s="1582"/>
      <c r="H160" s="1582"/>
      <c r="I160" s="1582"/>
      <c r="J160" s="1582"/>
      <c r="K160" s="1582"/>
      <c r="L160" s="1582"/>
      <c r="M160" s="1582"/>
      <c r="N160" s="1582"/>
      <c r="O160" s="1582"/>
      <c r="P160" s="1582"/>
      <c r="Q160" s="1582"/>
      <c r="R160" s="1582"/>
      <c r="S160" s="1582"/>
      <c r="T160" s="1582"/>
      <c r="U160" s="1582"/>
      <c r="V160" s="1582"/>
      <c r="W160" s="1582"/>
      <c r="X160" s="1582"/>
      <c r="Y160" s="1582"/>
      <c r="Z160" s="1582"/>
      <c r="AA160" s="1582"/>
      <c r="AB160" s="1582"/>
      <c r="AC160" s="1582"/>
      <c r="AF160" s="1593" t="s">
        <v>1907</v>
      </c>
      <c r="AG160" s="1593"/>
      <c r="AH160" s="1593"/>
      <c r="AI160" s="1593"/>
      <c r="AJ160" s="1593"/>
      <c r="AK160" s="1593"/>
      <c r="AL160" s="1593"/>
      <c r="AN160" s="243"/>
    </row>
    <row r="161" spans="1:42" s="4" customFormat="1" ht="12.75" customHeight="1">
      <c r="C161" s="3"/>
      <c r="E161" s="1582"/>
      <c r="F161" s="1582"/>
      <c r="G161" s="1582"/>
      <c r="H161" s="1582"/>
      <c r="I161" s="1582"/>
      <c r="J161" s="1582"/>
      <c r="K161" s="1582"/>
      <c r="L161" s="1582"/>
      <c r="M161" s="1582"/>
      <c r="N161" s="1582"/>
      <c r="O161" s="1582"/>
      <c r="P161" s="1582"/>
      <c r="Q161" s="1582"/>
      <c r="R161" s="1582"/>
      <c r="S161" s="1582"/>
      <c r="T161" s="1582"/>
      <c r="U161" s="1582"/>
      <c r="V161" s="1582"/>
      <c r="W161" s="1582"/>
      <c r="X161" s="1582"/>
      <c r="Y161" s="1582"/>
      <c r="Z161" s="1582"/>
      <c r="AA161" s="1582"/>
      <c r="AB161" s="1582"/>
      <c r="AC161" s="1582"/>
      <c r="AN161" s="243"/>
    </row>
    <row r="162" spans="1:42" s="4" customFormat="1" ht="15" customHeight="1">
      <c r="C162" s="3"/>
      <c r="D162" s="25"/>
      <c r="E162" s="1582"/>
      <c r="F162" s="1582"/>
      <c r="G162" s="1582"/>
      <c r="H162" s="1582"/>
      <c r="I162" s="1582"/>
      <c r="J162" s="1582"/>
      <c r="K162" s="1582"/>
      <c r="L162" s="1582"/>
      <c r="M162" s="1582"/>
      <c r="N162" s="1582"/>
      <c r="O162" s="1582"/>
      <c r="P162" s="1582"/>
      <c r="Q162" s="1582"/>
      <c r="R162" s="1582"/>
      <c r="S162" s="1582"/>
      <c r="T162" s="1582"/>
      <c r="U162" s="1582"/>
      <c r="V162" s="1582"/>
      <c r="W162" s="1582"/>
      <c r="X162" s="1582"/>
      <c r="Y162" s="1582"/>
      <c r="Z162" s="1582"/>
      <c r="AA162" s="1582"/>
      <c r="AB162" s="1582"/>
      <c r="AC162" s="15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N163" s="243"/>
    </row>
    <row r="164" spans="1:42" s="4" customFormat="1" ht="12.75" customHeight="1">
      <c r="C164" s="3"/>
      <c r="D164" s="25" t="s">
        <v>43</v>
      </c>
      <c r="E164" s="1582" t="s">
        <v>1942</v>
      </c>
      <c r="F164" s="1582"/>
      <c r="G164" s="1582"/>
      <c r="H164" s="1582"/>
      <c r="I164" s="1582"/>
      <c r="J164" s="1582"/>
      <c r="K164" s="1582"/>
      <c r="L164" s="1582"/>
      <c r="M164" s="1582"/>
      <c r="N164" s="1582"/>
      <c r="O164" s="1582"/>
      <c r="P164" s="1582"/>
      <c r="Q164" s="1582"/>
      <c r="R164" s="1582"/>
      <c r="S164" s="1582"/>
      <c r="T164" s="1582"/>
      <c r="U164" s="1582"/>
      <c r="V164" s="1582"/>
      <c r="W164" s="1582"/>
      <c r="X164" s="1582"/>
      <c r="Y164" s="1582"/>
      <c r="Z164" s="1582"/>
      <c r="AA164" s="1582"/>
      <c r="AB164" s="1582"/>
      <c r="AC164" s="1582"/>
      <c r="AF164" s="1593" t="s">
        <v>1867</v>
      </c>
      <c r="AG164" s="1593"/>
      <c r="AH164" s="1593"/>
      <c r="AI164" s="1593"/>
      <c r="AJ164" s="1593"/>
      <c r="AK164" s="1593"/>
      <c r="AL164" s="1593"/>
      <c r="AN164" s="243"/>
    </row>
    <row r="165" spans="1:42" s="4" customFormat="1" ht="12.75" customHeight="1">
      <c r="B165" s="37"/>
      <c r="C165" s="38"/>
      <c r="E165" s="1582"/>
      <c r="F165" s="1582"/>
      <c r="G165" s="1582"/>
      <c r="H165" s="1582"/>
      <c r="I165" s="1582"/>
      <c r="J165" s="1582"/>
      <c r="K165" s="1582"/>
      <c r="L165" s="1582"/>
      <c r="M165" s="1582"/>
      <c r="N165" s="1582"/>
      <c r="O165" s="1582"/>
      <c r="P165" s="1582"/>
      <c r="Q165" s="1582"/>
      <c r="R165" s="1582"/>
      <c r="S165" s="1582"/>
      <c r="T165" s="1582"/>
      <c r="U165" s="1582"/>
      <c r="V165" s="1582"/>
      <c r="W165" s="1582"/>
      <c r="X165" s="1582"/>
      <c r="Y165" s="1582"/>
      <c r="Z165" s="1582"/>
      <c r="AA165" s="1582"/>
      <c r="AB165" s="1582"/>
      <c r="AC165" s="1582"/>
      <c r="AE165" s="1593"/>
      <c r="AF165" s="1593"/>
      <c r="AG165" s="1593"/>
      <c r="AH165" s="1593"/>
      <c r="AI165" s="1593"/>
      <c r="AJ165" s="1593"/>
      <c r="AK165" s="1593"/>
      <c r="AL165" s="88"/>
      <c r="AN165" s="243"/>
      <c r="AO165" s="4" t="s">
        <v>325</v>
      </c>
      <c r="AP165" s="397">
        <v>0</v>
      </c>
    </row>
    <row r="166" spans="1:42" s="4" customFormat="1" ht="12.75" customHeight="1">
      <c r="A166" s="99"/>
      <c r="D166" s="25"/>
      <c r="E166" s="1582"/>
      <c r="F166" s="1582"/>
      <c r="G166" s="1582"/>
      <c r="H166" s="1582"/>
      <c r="I166" s="1582"/>
      <c r="J166" s="1582"/>
      <c r="K166" s="1582"/>
      <c r="L166" s="1582"/>
      <c r="M166" s="1582"/>
      <c r="N166" s="1582"/>
      <c r="O166" s="1582"/>
      <c r="P166" s="1582"/>
      <c r="Q166" s="1582"/>
      <c r="R166" s="1582"/>
      <c r="S166" s="1582"/>
      <c r="T166" s="1582"/>
      <c r="U166" s="1582"/>
      <c r="V166" s="1582"/>
      <c r="W166" s="1582"/>
      <c r="X166" s="1582"/>
      <c r="Y166" s="1582"/>
      <c r="Z166" s="1582"/>
      <c r="AA166" s="1582"/>
      <c r="AB166" s="1582"/>
      <c r="AC166" s="1582"/>
      <c r="AF166" s="37"/>
      <c r="AN166" s="243"/>
      <c r="AO166" s="25" t="s">
        <v>18</v>
      </c>
      <c r="AP166" s="4">
        <v>3</v>
      </c>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N167" s="243"/>
      <c r="AO167" s="25" t="s">
        <v>23</v>
      </c>
      <c r="AP167" s="4">
        <v>2</v>
      </c>
    </row>
    <row r="168" spans="1:42" s="4" customFormat="1" ht="12.75" customHeight="1">
      <c r="A168" s="90"/>
      <c r="B168" s="37"/>
      <c r="C168" s="105"/>
      <c r="D168" s="25" t="s">
        <v>1904</v>
      </c>
      <c r="E168" s="1582" t="s">
        <v>1943</v>
      </c>
      <c r="F168" s="1582"/>
      <c r="G168" s="1582"/>
      <c r="H168" s="1582"/>
      <c r="I168" s="1582"/>
      <c r="J168" s="1582"/>
      <c r="K168" s="1582"/>
      <c r="L168" s="1582"/>
      <c r="M168" s="1582"/>
      <c r="N168" s="1582"/>
      <c r="O168" s="1582"/>
      <c r="P168" s="1582"/>
      <c r="Q168" s="1582"/>
      <c r="R168" s="1582"/>
      <c r="S168" s="1582"/>
      <c r="T168" s="1582"/>
      <c r="U168" s="1582"/>
      <c r="V168" s="1582"/>
      <c r="W168" s="1582"/>
      <c r="X168" s="1582"/>
      <c r="Y168" s="1582"/>
      <c r="Z168" s="1582"/>
      <c r="AA168" s="1582"/>
      <c r="AB168" s="1582"/>
      <c r="AC168" s="1582"/>
      <c r="AF168" s="1593" t="s">
        <v>1907</v>
      </c>
      <c r="AG168" s="1593"/>
      <c r="AH168" s="1593"/>
      <c r="AI168" s="1593"/>
      <c r="AJ168" s="1593"/>
      <c r="AK168" s="1593"/>
      <c r="AL168" s="1593"/>
      <c r="AN168" s="243"/>
    </row>
    <row r="169" spans="1:42" s="4" customFormat="1" ht="12.75" customHeight="1">
      <c r="A169" s="90"/>
      <c r="B169" s="37"/>
      <c r="C169" s="105"/>
      <c r="D169" s="25"/>
      <c r="E169" s="1582"/>
      <c r="F169" s="1582"/>
      <c r="G169" s="1582"/>
      <c r="H169" s="1582"/>
      <c r="I169" s="1582"/>
      <c r="J169" s="1582"/>
      <c r="K169" s="1582"/>
      <c r="L169" s="1582"/>
      <c r="M169" s="1582"/>
      <c r="N169" s="1582"/>
      <c r="O169" s="1582"/>
      <c r="P169" s="1582"/>
      <c r="Q169" s="1582"/>
      <c r="R169" s="1582"/>
      <c r="S169" s="1582"/>
      <c r="T169" s="1582"/>
      <c r="U169" s="1582"/>
      <c r="V169" s="1582"/>
      <c r="W169" s="1582"/>
      <c r="X169" s="1582"/>
      <c r="Y169" s="1582"/>
      <c r="Z169" s="1582"/>
      <c r="AA169" s="1582"/>
      <c r="AB169" s="1582"/>
      <c r="AC169" s="1582"/>
      <c r="AE169" s="88"/>
      <c r="AF169" s="88"/>
      <c r="AG169" s="88"/>
      <c r="AH169" s="88"/>
      <c r="AI169" s="88"/>
      <c r="AJ169" s="88"/>
      <c r="AK169" s="88"/>
      <c r="AL169" s="88"/>
      <c r="AM169" s="20"/>
      <c r="AN169" s="243"/>
    </row>
    <row r="170" spans="1:42" s="4" customFormat="1" ht="12.75" customHeight="1">
      <c r="A170" s="90"/>
      <c r="B170" s="37"/>
      <c r="C170" s="105"/>
      <c r="D170" s="25"/>
      <c r="E170" s="1582"/>
      <c r="F170" s="1582"/>
      <c r="G170" s="1582"/>
      <c r="H170" s="1582"/>
      <c r="I170" s="1582"/>
      <c r="J170" s="1582"/>
      <c r="K170" s="1582"/>
      <c r="L170" s="1582"/>
      <c r="M170" s="1582"/>
      <c r="N170" s="1582"/>
      <c r="O170" s="1582"/>
      <c r="P170" s="1582"/>
      <c r="Q170" s="1582"/>
      <c r="R170" s="1582"/>
      <c r="S170" s="1582"/>
      <c r="T170" s="1582"/>
      <c r="U170" s="1582"/>
      <c r="V170" s="1582"/>
      <c r="W170" s="1582"/>
      <c r="X170" s="1582"/>
      <c r="Y170" s="1582"/>
      <c r="Z170" s="1582"/>
      <c r="AA170" s="1582"/>
      <c r="AB170" s="1582"/>
      <c r="AC170" s="1582"/>
      <c r="AE170" s="88"/>
      <c r="AF170" s="88"/>
      <c r="AG170" s="88"/>
      <c r="AH170" s="88"/>
      <c r="AI170" s="88"/>
      <c r="AJ170" s="88"/>
      <c r="AK170" s="88"/>
      <c r="AL170" s="88"/>
      <c r="AM170" s="20"/>
      <c r="AN170" s="243"/>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L171" s="88"/>
      <c r="AM171" s="20"/>
      <c r="AN171" s="243"/>
    </row>
    <row r="172" spans="1:42" s="4" customFormat="1" ht="12.75" customHeight="1">
      <c r="B172" s="37"/>
      <c r="C172" s="38"/>
      <c r="D172" s="25" t="s">
        <v>1906</v>
      </c>
      <c r="E172" s="1582" t="s">
        <v>1944</v>
      </c>
      <c r="F172" s="1582"/>
      <c r="G172" s="1582"/>
      <c r="H172" s="1582"/>
      <c r="I172" s="1582"/>
      <c r="J172" s="1582"/>
      <c r="K172" s="1582"/>
      <c r="L172" s="1582"/>
      <c r="M172" s="1582"/>
      <c r="N172" s="1582"/>
      <c r="O172" s="1582"/>
      <c r="P172" s="1582"/>
      <c r="Q172" s="1582"/>
      <c r="R172" s="1582"/>
      <c r="S172" s="1582"/>
      <c r="T172" s="1582"/>
      <c r="U172" s="1582"/>
      <c r="V172" s="1582"/>
      <c r="W172" s="1582"/>
      <c r="X172" s="1582"/>
      <c r="Y172" s="1582"/>
      <c r="Z172" s="1582"/>
      <c r="AA172" s="1582"/>
      <c r="AB172" s="1582"/>
      <c r="AC172" s="1582"/>
      <c r="AF172" s="1593" t="s">
        <v>1867</v>
      </c>
      <c r="AG172" s="1593"/>
      <c r="AH172" s="1593"/>
      <c r="AI172" s="1593"/>
      <c r="AJ172" s="1593"/>
      <c r="AK172" s="1593"/>
      <c r="AL172" s="1593"/>
      <c r="AM172" s="20"/>
      <c r="AN172" s="243"/>
    </row>
    <row r="173" spans="1:42" s="4" customFormat="1" ht="12.75" customHeight="1">
      <c r="B173" s="37"/>
      <c r="C173" s="38"/>
      <c r="D173" s="25"/>
      <c r="E173" s="1582"/>
      <c r="F173" s="1582"/>
      <c r="G173" s="1582"/>
      <c r="H173" s="1582"/>
      <c r="I173" s="1582"/>
      <c r="J173" s="1582"/>
      <c r="K173" s="1582"/>
      <c r="L173" s="1582"/>
      <c r="M173" s="1582"/>
      <c r="N173" s="1582"/>
      <c r="O173" s="1582"/>
      <c r="P173" s="1582"/>
      <c r="Q173" s="1582"/>
      <c r="R173" s="1582"/>
      <c r="S173" s="1582"/>
      <c r="T173" s="1582"/>
      <c r="U173" s="1582"/>
      <c r="V173" s="1582"/>
      <c r="W173" s="1582"/>
      <c r="X173" s="1582"/>
      <c r="Y173" s="1582"/>
      <c r="Z173" s="1582"/>
      <c r="AA173" s="1582"/>
      <c r="AB173" s="1582"/>
      <c r="AC173" s="1582"/>
      <c r="AF173" s="37"/>
      <c r="AM173" s="20"/>
      <c r="AN173" s="243"/>
    </row>
    <row r="174" spans="1:42" s="4" customFormat="1" ht="12.75" customHeight="1">
      <c r="B174" s="37"/>
      <c r="C174" s="38"/>
      <c r="D174" s="25"/>
      <c r="E174" s="1582"/>
      <c r="F174" s="1582"/>
      <c r="G174" s="1582"/>
      <c r="H174" s="1582"/>
      <c r="I174" s="1582"/>
      <c r="J174" s="1582"/>
      <c r="K174" s="1582"/>
      <c r="L174" s="1582"/>
      <c r="M174" s="1582"/>
      <c r="N174" s="1582"/>
      <c r="O174" s="1582"/>
      <c r="P174" s="1582"/>
      <c r="Q174" s="1582"/>
      <c r="R174" s="1582"/>
      <c r="S174" s="1582"/>
      <c r="T174" s="1582"/>
      <c r="U174" s="1582"/>
      <c r="V174" s="1582"/>
      <c r="W174" s="1582"/>
      <c r="X174" s="1582"/>
      <c r="Y174" s="1582"/>
      <c r="Z174" s="1582"/>
      <c r="AA174" s="1582"/>
      <c r="AB174" s="1582"/>
      <c r="AC174" s="1582"/>
      <c r="AF174" s="37"/>
      <c r="AM174" s="20"/>
      <c r="AN174" s="243"/>
    </row>
    <row r="175" spans="1:42" s="4" customFormat="1" ht="12.75" customHeight="1">
      <c r="B175" s="37"/>
      <c r="C175" s="38"/>
      <c r="D175" s="25"/>
      <c r="AM175" s="20"/>
      <c r="AN175" s="243"/>
    </row>
    <row r="176" spans="1:42" s="4" customFormat="1" ht="12.75" customHeight="1">
      <c r="A176" s="99"/>
      <c r="B176" s="37"/>
      <c r="C176" s="38"/>
      <c r="D176" s="25" t="s">
        <v>1929</v>
      </c>
      <c r="E176" s="1582" t="s">
        <v>1945</v>
      </c>
      <c r="F176" s="1582"/>
      <c r="G176" s="1582"/>
      <c r="H176" s="1582"/>
      <c r="I176" s="1582"/>
      <c r="J176" s="1582"/>
      <c r="K176" s="1582"/>
      <c r="L176" s="1582"/>
      <c r="M176" s="1582"/>
      <c r="N176" s="1582"/>
      <c r="O176" s="1582"/>
      <c r="P176" s="1582"/>
      <c r="Q176" s="1582"/>
      <c r="R176" s="1582"/>
      <c r="S176" s="1582"/>
      <c r="T176" s="1582"/>
      <c r="U176" s="1582"/>
      <c r="V176" s="1582"/>
      <c r="W176" s="1582"/>
      <c r="X176" s="1582"/>
      <c r="Y176" s="1582"/>
      <c r="Z176" s="1582"/>
      <c r="AA176" s="1582"/>
      <c r="AB176" s="1582"/>
      <c r="AC176" s="1582"/>
      <c r="AF176" s="1593" t="s">
        <v>1928</v>
      </c>
      <c r="AG176" s="1593"/>
      <c r="AH176" s="1593"/>
      <c r="AI176" s="1593"/>
      <c r="AJ176" s="1593"/>
      <c r="AK176" s="1593"/>
      <c r="AL176" s="1593"/>
      <c r="AM176" s="20"/>
      <c r="AN176" s="243"/>
    </row>
    <row r="177" spans="1:42" s="4" customFormat="1" ht="23.1" customHeight="1">
      <c r="A177" s="99"/>
      <c r="B177" s="37"/>
      <c r="C177" s="38"/>
      <c r="D177" s="25"/>
      <c r="E177" s="1582"/>
      <c r="F177" s="1582"/>
      <c r="G177" s="1582"/>
      <c r="H177" s="1582"/>
      <c r="I177" s="1582"/>
      <c r="J177" s="1582"/>
      <c r="K177" s="1582"/>
      <c r="L177" s="1582"/>
      <c r="M177" s="1582"/>
      <c r="N177" s="1582"/>
      <c r="O177" s="1582"/>
      <c r="P177" s="1582"/>
      <c r="Q177" s="1582"/>
      <c r="R177" s="1582"/>
      <c r="S177" s="1582"/>
      <c r="T177" s="1582"/>
      <c r="U177" s="1582"/>
      <c r="V177" s="1582"/>
      <c r="W177" s="1582"/>
      <c r="X177" s="1582"/>
      <c r="Y177" s="1582"/>
      <c r="Z177" s="1582"/>
      <c r="AA177" s="1582"/>
      <c r="AB177" s="1582"/>
      <c r="AC177" s="1582"/>
      <c r="AE177" s="88"/>
      <c r="AF177" s="88"/>
      <c r="AG177" s="88"/>
      <c r="AH177" s="88"/>
      <c r="AI177" s="88"/>
      <c r="AJ177" s="88"/>
      <c r="AK177" s="88"/>
      <c r="AL177" s="88"/>
      <c r="AM177" s="20"/>
      <c r="AN177" s="243"/>
    </row>
    <row r="178" spans="1:42"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8"/>
      <c r="AM178" s="20"/>
      <c r="AN178" s="243"/>
      <c r="AO178" s="4" t="s">
        <v>325</v>
      </c>
      <c r="AP178" s="32">
        <v>0</v>
      </c>
    </row>
    <row r="179" spans="1:42" s="4" customFormat="1" ht="12.75" customHeight="1">
      <c r="A179" s="99"/>
      <c r="B179" s="37"/>
      <c r="C179" s="38"/>
      <c r="D179" s="25" t="s">
        <v>1931</v>
      </c>
      <c r="E179" s="1582" t="s">
        <v>1946</v>
      </c>
      <c r="F179" s="1582"/>
      <c r="G179" s="1582"/>
      <c r="H179" s="1582"/>
      <c r="I179" s="1582"/>
      <c r="J179" s="1582"/>
      <c r="K179" s="1582"/>
      <c r="L179" s="1582"/>
      <c r="M179" s="1582"/>
      <c r="N179" s="1582"/>
      <c r="O179" s="1582"/>
      <c r="P179" s="1582"/>
      <c r="Q179" s="1582"/>
      <c r="R179" s="1582"/>
      <c r="S179" s="1582"/>
      <c r="T179" s="1582"/>
      <c r="U179" s="1582"/>
      <c r="V179" s="1582"/>
      <c r="W179" s="1582"/>
      <c r="X179" s="1582"/>
      <c r="Y179" s="1582"/>
      <c r="Z179" s="1582"/>
      <c r="AA179" s="1582"/>
      <c r="AB179" s="1582"/>
      <c r="AC179" s="1582"/>
      <c r="AF179" s="1593" t="s">
        <v>1947</v>
      </c>
      <c r="AG179" s="1593"/>
      <c r="AH179" s="1593"/>
      <c r="AI179" s="1593"/>
      <c r="AJ179" s="1593"/>
      <c r="AK179" s="1593"/>
      <c r="AL179" s="1593"/>
      <c r="AM179" s="20"/>
      <c r="AN179" s="243"/>
      <c r="AO179" s="25" t="s">
        <v>18</v>
      </c>
      <c r="AP179" s="4">
        <v>3</v>
      </c>
    </row>
    <row r="180" spans="1:42" s="4" customFormat="1" ht="23.1" customHeight="1">
      <c r="A180" s="99"/>
      <c r="B180" s="37"/>
      <c r="C180" s="38"/>
      <c r="D180" s="25"/>
      <c r="E180" s="1582"/>
      <c r="F180" s="1582"/>
      <c r="G180" s="1582"/>
      <c r="H180" s="1582"/>
      <c r="I180" s="1582"/>
      <c r="J180" s="1582"/>
      <c r="K180" s="1582"/>
      <c r="L180" s="1582"/>
      <c r="M180" s="1582"/>
      <c r="N180" s="1582"/>
      <c r="O180" s="1582"/>
      <c r="P180" s="1582"/>
      <c r="Q180" s="1582"/>
      <c r="R180" s="1582"/>
      <c r="S180" s="1582"/>
      <c r="T180" s="1582"/>
      <c r="U180" s="1582"/>
      <c r="V180" s="1582"/>
      <c r="W180" s="1582"/>
      <c r="X180" s="1582"/>
      <c r="Y180" s="1582"/>
      <c r="Z180" s="1582"/>
      <c r="AA180" s="1582"/>
      <c r="AB180" s="1582"/>
      <c r="AC180" s="1582"/>
      <c r="AE180" s="88"/>
      <c r="AF180" s="88"/>
      <c r="AG180" s="88"/>
      <c r="AH180" s="88"/>
      <c r="AI180" s="88"/>
      <c r="AJ180" s="88"/>
      <c r="AK180" s="88"/>
      <c r="AL180" s="88"/>
      <c r="AM180" s="20"/>
      <c r="AN180" s="243"/>
      <c r="AO180" s="25" t="s">
        <v>23</v>
      </c>
      <c r="AP180" s="25">
        <v>2</v>
      </c>
    </row>
    <row r="181" spans="1:42"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42" s="4" customFormat="1" ht="12.75" customHeight="1">
      <c r="A182" s="99"/>
      <c r="B182" s="37"/>
      <c r="C182" s="38"/>
      <c r="D182" s="4" t="s">
        <v>1914</v>
      </c>
      <c r="E182" s="95"/>
      <c r="F182" s="95"/>
      <c r="G182" s="95"/>
      <c r="H182" s="1581" t="s">
        <v>18</v>
      </c>
      <c r="I182" s="1581"/>
      <c r="J182" s="19"/>
      <c r="K182" s="19"/>
      <c r="AN182" s="243"/>
    </row>
    <row r="183" spans="1:42"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42" s="4" customFormat="1" ht="12.75" customHeight="1">
      <c r="A184" s="98"/>
      <c r="B184" s="340"/>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40"/>
      <c r="AD184" s="77"/>
      <c r="AE184" s="77"/>
      <c r="AF184" s="77"/>
      <c r="AG184" s="77"/>
      <c r="AH184" s="77"/>
      <c r="AI184" s="53" t="s">
        <v>1948</v>
      </c>
      <c r="AJ184" s="1192">
        <f>VLOOKUP($H$182,$AO$132:$AP$139,2,FALSE)</f>
        <v>5</v>
      </c>
      <c r="AK184" s="1195"/>
      <c r="AL184" s="414"/>
      <c r="AN184" s="243"/>
    </row>
    <row r="185" spans="1:42"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row>
    <row r="186" spans="1:42" s="4" customFormat="1" ht="12.75" customHeight="1">
      <c r="A186" s="99"/>
      <c r="C186" s="3" t="s">
        <v>1949</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42" s="4" customFormat="1" ht="12.75" customHeight="1">
      <c r="A187" s="99"/>
      <c r="B187" s="37"/>
      <c r="C187" s="109"/>
      <c r="AD187" s="37"/>
      <c r="AN187" s="243"/>
    </row>
    <row r="188" spans="1:42" s="4" customFormat="1" ht="12.75" customHeight="1">
      <c r="C188" s="38"/>
      <c r="D188" s="25" t="s">
        <v>18</v>
      </c>
      <c r="E188" s="1582" t="s">
        <v>1950</v>
      </c>
      <c r="F188" s="1582"/>
      <c r="G188" s="1582"/>
      <c r="H188" s="1582"/>
      <c r="I188" s="1582"/>
      <c r="J188" s="1582"/>
      <c r="K188" s="1582"/>
      <c r="L188" s="1582"/>
      <c r="M188" s="1582"/>
      <c r="N188" s="1582"/>
      <c r="O188" s="1582"/>
      <c r="P188" s="1582"/>
      <c r="Q188" s="1582"/>
      <c r="R188" s="1582"/>
      <c r="S188" s="1582"/>
      <c r="T188" s="1582"/>
      <c r="U188" s="1582"/>
      <c r="V188" s="1582"/>
      <c r="W188" s="1582"/>
      <c r="X188" s="1582"/>
      <c r="Y188" s="1582"/>
      <c r="Z188" s="1582"/>
      <c r="AA188" s="1582"/>
      <c r="AB188" s="1582"/>
      <c r="AF188" s="1593" t="s">
        <v>1867</v>
      </c>
      <c r="AG188" s="1593"/>
      <c r="AH188" s="1593"/>
      <c r="AI188" s="1593"/>
      <c r="AJ188" s="1593"/>
      <c r="AK188" s="1593"/>
      <c r="AL188" s="1593"/>
      <c r="AN188" s="243"/>
    </row>
    <row r="189" spans="1:42" s="4" customFormat="1" ht="12.75" customHeight="1">
      <c r="B189" s="37"/>
      <c r="C189" s="100"/>
      <c r="D189" s="25"/>
      <c r="E189" s="1582"/>
      <c r="F189" s="1582"/>
      <c r="G189" s="1582"/>
      <c r="H189" s="1582"/>
      <c r="I189" s="1582"/>
      <c r="J189" s="1582"/>
      <c r="K189" s="1582"/>
      <c r="L189" s="1582"/>
      <c r="M189" s="1582"/>
      <c r="N189" s="1582"/>
      <c r="O189" s="1582"/>
      <c r="P189" s="1582"/>
      <c r="Q189" s="1582"/>
      <c r="R189" s="1582"/>
      <c r="S189" s="1582"/>
      <c r="T189" s="1582"/>
      <c r="U189" s="1582"/>
      <c r="V189" s="1582"/>
      <c r="W189" s="1582"/>
      <c r="X189" s="1582"/>
      <c r="Y189" s="1582"/>
      <c r="Z189" s="1582"/>
      <c r="AA189" s="1582"/>
      <c r="AB189" s="1582"/>
      <c r="AE189" s="19"/>
      <c r="AN189" s="243"/>
      <c r="AO189" s="1349"/>
      <c r="AP189" s="1349"/>
    </row>
    <row r="190" spans="1:42" s="4" customFormat="1" ht="12.75" customHeight="1">
      <c r="B190" s="37"/>
      <c r="C190" s="100"/>
      <c r="D190" s="25"/>
      <c r="E190" s="1582"/>
      <c r="F190" s="1582"/>
      <c r="G190" s="1582"/>
      <c r="H190" s="1582"/>
      <c r="I190" s="1582"/>
      <c r="J190" s="1582"/>
      <c r="K190" s="1582"/>
      <c r="L190" s="1582"/>
      <c r="M190" s="1582"/>
      <c r="N190" s="1582"/>
      <c r="O190" s="1582"/>
      <c r="P190" s="1582"/>
      <c r="Q190" s="1582"/>
      <c r="R190" s="1582"/>
      <c r="S190" s="1582"/>
      <c r="T190" s="1582"/>
      <c r="U190" s="1582"/>
      <c r="V190" s="1582"/>
      <c r="W190" s="1582"/>
      <c r="X190" s="1582"/>
      <c r="Y190" s="1582"/>
      <c r="Z190" s="1582"/>
      <c r="AA190" s="1582"/>
      <c r="AB190" s="1582"/>
      <c r="AE190" s="19"/>
      <c r="AF190" s="266"/>
      <c r="AG190" s="19"/>
      <c r="AH190" s="19"/>
      <c r="AI190" s="19"/>
      <c r="AJ190" s="19"/>
      <c r="AK190" s="19"/>
      <c r="AL190" s="19"/>
      <c r="AN190" s="243"/>
    </row>
    <row r="191" spans="1:42" s="4" customFormat="1" ht="11.25" customHeight="1">
      <c r="B191" s="37"/>
      <c r="C191" s="100"/>
      <c r="D191" s="25"/>
      <c r="E191" s="1582"/>
      <c r="F191" s="1582"/>
      <c r="G191" s="1582"/>
      <c r="H191" s="1582"/>
      <c r="I191" s="1582"/>
      <c r="J191" s="1582"/>
      <c r="K191" s="1582"/>
      <c r="L191" s="1582"/>
      <c r="M191" s="1582"/>
      <c r="N191" s="1582"/>
      <c r="O191" s="1582"/>
      <c r="P191" s="1582"/>
      <c r="Q191" s="1582"/>
      <c r="R191" s="1582"/>
      <c r="S191" s="1582"/>
      <c r="T191" s="1582"/>
      <c r="U191" s="1582"/>
      <c r="V191" s="1582"/>
      <c r="W191" s="1582"/>
      <c r="X191" s="1582"/>
      <c r="Y191" s="1582"/>
      <c r="Z191" s="1582"/>
      <c r="AA191" s="1582"/>
      <c r="AB191" s="1582"/>
      <c r="AE191" s="19"/>
      <c r="AF191" s="266"/>
      <c r="AG191" s="19"/>
      <c r="AH191" s="19"/>
      <c r="AI191" s="19"/>
      <c r="AJ191" s="19"/>
      <c r="AK191" s="19"/>
      <c r="AL191" s="19"/>
      <c r="AN191" s="243"/>
      <c r="AO191" s="4" t="s">
        <v>325</v>
      </c>
      <c r="AP191" s="397">
        <v>0</v>
      </c>
    </row>
    <row r="192" spans="1:42" s="4" customFormat="1" ht="12.75" customHeight="1">
      <c r="B192" s="37"/>
      <c r="C192" s="100"/>
      <c r="D192" s="25"/>
      <c r="E192" s="283"/>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E192" s="19"/>
      <c r="AF192" s="266"/>
      <c r="AG192" s="19"/>
      <c r="AH192" s="19"/>
      <c r="AI192" s="19"/>
      <c r="AJ192" s="19"/>
      <c r="AK192" s="19"/>
      <c r="AL192" s="19"/>
      <c r="AN192" s="243"/>
      <c r="AO192" s="25" t="s">
        <v>18</v>
      </c>
      <c r="AP192" s="4">
        <v>2</v>
      </c>
    </row>
    <row r="193" spans="1:42" s="4" customFormat="1" ht="12.75" customHeight="1">
      <c r="B193" s="37"/>
      <c r="C193" s="38"/>
      <c r="D193" s="25" t="s">
        <v>23</v>
      </c>
      <c r="E193" s="1582" t="s">
        <v>1951</v>
      </c>
      <c r="F193" s="1582"/>
      <c r="G193" s="1582"/>
      <c r="H193" s="1582"/>
      <c r="I193" s="1582"/>
      <c r="J193" s="1582"/>
      <c r="K193" s="1582"/>
      <c r="L193" s="1582"/>
      <c r="M193" s="1582"/>
      <c r="N193" s="1582"/>
      <c r="O193" s="1582"/>
      <c r="P193" s="1582"/>
      <c r="Q193" s="1582"/>
      <c r="R193" s="1582"/>
      <c r="S193" s="1582"/>
      <c r="T193" s="1582"/>
      <c r="U193" s="1582"/>
      <c r="V193" s="1582"/>
      <c r="W193" s="1582"/>
      <c r="X193" s="1582"/>
      <c r="Y193" s="1582"/>
      <c r="Z193" s="1582"/>
      <c r="AA193" s="1582"/>
      <c r="AB193" s="1582"/>
      <c r="AF193" s="1593" t="s">
        <v>1928</v>
      </c>
      <c r="AG193" s="1593"/>
      <c r="AH193" s="1593"/>
      <c r="AI193" s="1593"/>
      <c r="AJ193" s="1593"/>
      <c r="AK193" s="1593"/>
      <c r="AL193" s="1593"/>
      <c r="AN193" s="243"/>
      <c r="AO193" s="25" t="s">
        <v>23</v>
      </c>
      <c r="AP193" s="4">
        <v>1</v>
      </c>
    </row>
    <row r="194" spans="1:42" s="4" customFormat="1" ht="12.75" customHeight="1">
      <c r="B194" s="37"/>
      <c r="C194" s="38"/>
      <c r="E194" s="1582"/>
      <c r="F194" s="1582"/>
      <c r="G194" s="1582"/>
      <c r="H194" s="1582"/>
      <c r="I194" s="1582"/>
      <c r="J194" s="1582"/>
      <c r="K194" s="1582"/>
      <c r="L194" s="1582"/>
      <c r="M194" s="1582"/>
      <c r="N194" s="1582"/>
      <c r="O194" s="1582"/>
      <c r="P194" s="1582"/>
      <c r="Q194" s="1582"/>
      <c r="R194" s="1582"/>
      <c r="S194" s="1582"/>
      <c r="T194" s="1582"/>
      <c r="U194" s="1582"/>
      <c r="V194" s="1582"/>
      <c r="W194" s="1582"/>
      <c r="X194" s="1582"/>
      <c r="Y194" s="1582"/>
      <c r="Z194" s="1582"/>
      <c r="AA194" s="1582"/>
      <c r="AB194" s="1582"/>
      <c r="AD194" s="37"/>
      <c r="AE194" s="19"/>
      <c r="AN194" s="243"/>
    </row>
    <row r="195" spans="1:42" s="4" customFormat="1" ht="12.75" customHeight="1">
      <c r="B195" s="37"/>
      <c r="C195" s="38"/>
      <c r="E195" s="1582"/>
      <c r="F195" s="1582"/>
      <c r="G195" s="1582"/>
      <c r="H195" s="1582"/>
      <c r="I195" s="1582"/>
      <c r="J195" s="1582"/>
      <c r="K195" s="1582"/>
      <c r="L195" s="1582"/>
      <c r="M195" s="1582"/>
      <c r="N195" s="1582"/>
      <c r="O195" s="1582"/>
      <c r="P195" s="1582"/>
      <c r="Q195" s="1582"/>
      <c r="R195" s="1582"/>
      <c r="S195" s="1582"/>
      <c r="T195" s="1582"/>
      <c r="U195" s="1582"/>
      <c r="V195" s="1582"/>
      <c r="W195" s="1582"/>
      <c r="X195" s="1582"/>
      <c r="Y195" s="1582"/>
      <c r="Z195" s="1582"/>
      <c r="AA195" s="1582"/>
      <c r="AB195" s="1582"/>
      <c r="AD195" s="37"/>
      <c r="AE195" s="19"/>
      <c r="AN195" s="243"/>
    </row>
    <row r="196" spans="1:42" customFormat="1" ht="12.75" customHeight="1">
      <c r="A196" s="4"/>
      <c r="B196" s="37"/>
      <c r="C196" s="38"/>
      <c r="D196" s="4"/>
      <c r="E196" s="1582"/>
      <c r="F196" s="1582"/>
      <c r="G196" s="1582"/>
      <c r="H196" s="1582"/>
      <c r="I196" s="1582"/>
      <c r="J196" s="1582"/>
      <c r="K196" s="1582"/>
      <c r="L196" s="1582"/>
      <c r="M196" s="1582"/>
      <c r="N196" s="1582"/>
      <c r="O196" s="1582"/>
      <c r="P196" s="1582"/>
      <c r="Q196" s="1582"/>
      <c r="R196" s="1582"/>
      <c r="S196" s="1582"/>
      <c r="T196" s="1582"/>
      <c r="U196" s="1582"/>
      <c r="V196" s="1582"/>
      <c r="W196" s="1582"/>
      <c r="X196" s="1582"/>
      <c r="Y196" s="1582"/>
      <c r="Z196" s="1582"/>
      <c r="AA196" s="1582"/>
      <c r="AB196" s="1582"/>
      <c r="AC196" s="4"/>
      <c r="AD196" s="37"/>
      <c r="AE196" s="19"/>
      <c r="AF196" s="19"/>
      <c r="AG196" s="19"/>
      <c r="AH196" s="19"/>
      <c r="AI196" s="19"/>
      <c r="AJ196" s="4"/>
      <c r="AK196" s="4"/>
      <c r="AL196" s="4"/>
      <c r="AM196" s="4"/>
      <c r="AN196" s="175"/>
    </row>
    <row r="197" spans="1:42" customFormat="1" ht="5.0999999999999996" customHeight="1">
      <c r="A197" s="4"/>
      <c r="B197" s="37"/>
      <c r="C197" s="38"/>
      <c r="D197" s="4"/>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4"/>
      <c r="AD197" s="37"/>
      <c r="AE197" s="19"/>
      <c r="AF197" s="19"/>
      <c r="AG197" s="19"/>
      <c r="AH197" s="19"/>
      <c r="AI197" s="19"/>
      <c r="AJ197" s="4"/>
      <c r="AK197" s="4"/>
      <c r="AL197" s="4"/>
      <c r="AM197" s="4"/>
      <c r="AN197" s="175"/>
    </row>
    <row r="198" spans="1:42" customFormat="1" ht="12.75" customHeight="1">
      <c r="A198" s="4"/>
      <c r="B198" s="37"/>
      <c r="C198" s="38"/>
      <c r="D198" s="4"/>
      <c r="E198" s="1595" t="s">
        <v>1952</v>
      </c>
      <c r="F198" s="1595"/>
      <c r="G198" s="1595"/>
      <c r="H198" s="1595"/>
      <c r="I198" s="1595"/>
      <c r="J198" s="1595"/>
      <c r="K198" s="1595"/>
      <c r="L198" s="1595"/>
      <c r="M198" s="1595"/>
      <c r="N198" s="1595"/>
      <c r="O198" s="1595"/>
      <c r="P198" s="1595"/>
      <c r="Q198" s="1595"/>
      <c r="R198" s="1595"/>
      <c r="S198" s="1595"/>
      <c r="T198" s="1595"/>
      <c r="U198" s="1595"/>
      <c r="V198" s="1595"/>
      <c r="W198" s="1595"/>
      <c r="X198" s="1595"/>
      <c r="Y198" s="1595"/>
      <c r="Z198" s="1595"/>
      <c r="AA198" s="1595"/>
      <c r="AB198" s="1595"/>
      <c r="AC198" s="4"/>
      <c r="AD198" s="37"/>
      <c r="AE198" s="19"/>
      <c r="AF198" s="19"/>
      <c r="AG198" s="19"/>
      <c r="AH198" s="19"/>
      <c r="AI198" s="19"/>
      <c r="AJ198" s="4"/>
      <c r="AK198" s="4"/>
      <c r="AL198" s="4"/>
      <c r="AM198" s="4"/>
      <c r="AN198" s="175"/>
    </row>
    <row r="199" spans="1:42" customFormat="1" ht="12.75" customHeight="1">
      <c r="A199" s="4"/>
      <c r="B199" s="37"/>
      <c r="C199" s="38"/>
      <c r="D199" s="4"/>
      <c r="E199" s="1595"/>
      <c r="F199" s="1595"/>
      <c r="G199" s="1595"/>
      <c r="H199" s="1595"/>
      <c r="I199" s="1595"/>
      <c r="J199" s="1595"/>
      <c r="K199" s="1595"/>
      <c r="L199" s="1595"/>
      <c r="M199" s="1595"/>
      <c r="N199" s="1595"/>
      <c r="O199" s="1595"/>
      <c r="P199" s="1595"/>
      <c r="Q199" s="1595"/>
      <c r="R199" s="1595"/>
      <c r="S199" s="1595"/>
      <c r="T199" s="1595"/>
      <c r="U199" s="1595"/>
      <c r="V199" s="1595"/>
      <c r="W199" s="1595"/>
      <c r="X199" s="1595"/>
      <c r="Y199" s="1595"/>
      <c r="Z199" s="1595"/>
      <c r="AA199" s="1595"/>
      <c r="AB199" s="1595"/>
      <c r="AC199" s="4"/>
      <c r="AD199" s="37"/>
      <c r="AE199" s="19"/>
      <c r="AF199" s="19"/>
      <c r="AG199" s="19"/>
      <c r="AH199" s="19"/>
      <c r="AI199" s="19"/>
      <c r="AJ199" s="4"/>
      <c r="AK199" s="4"/>
      <c r="AL199" s="4"/>
      <c r="AM199" s="4"/>
      <c r="AN199" s="175"/>
    </row>
    <row r="200" spans="1:42" customFormat="1" ht="18" customHeight="1">
      <c r="A200" s="4"/>
      <c r="B200" s="37"/>
      <c r="C200" s="38"/>
      <c r="D200" s="4"/>
      <c r="E200" s="1595"/>
      <c r="F200" s="1595"/>
      <c r="G200" s="1595"/>
      <c r="H200" s="1595"/>
      <c r="I200" s="1595"/>
      <c r="J200" s="1595"/>
      <c r="K200" s="1595"/>
      <c r="L200" s="1595"/>
      <c r="M200" s="1595"/>
      <c r="N200" s="1595"/>
      <c r="O200" s="1595"/>
      <c r="P200" s="1595"/>
      <c r="Q200" s="1595"/>
      <c r="R200" s="1595"/>
      <c r="S200" s="1595"/>
      <c r="T200" s="1595"/>
      <c r="U200" s="1595"/>
      <c r="V200" s="1595"/>
      <c r="W200" s="1595"/>
      <c r="X200" s="1595"/>
      <c r="Y200" s="1595"/>
      <c r="Z200" s="1595"/>
      <c r="AA200" s="1595"/>
      <c r="AB200" s="1595"/>
      <c r="AC200" s="4"/>
      <c r="AD200" s="37"/>
      <c r="AE200" s="19"/>
      <c r="AF200" s="19"/>
      <c r="AG200" s="19"/>
      <c r="AH200" s="19"/>
      <c r="AI200" s="19"/>
      <c r="AJ200" s="4"/>
      <c r="AK200" s="4"/>
      <c r="AL200" s="4"/>
      <c r="AM200" s="4"/>
      <c r="AN200" s="175"/>
    </row>
    <row r="201" spans="1:42" customFormat="1" ht="12.75" customHeight="1">
      <c r="A201" s="4"/>
      <c r="B201" s="37"/>
      <c r="C201" s="38"/>
      <c r="D201" s="4" t="s">
        <v>1914</v>
      </c>
      <c r="E201" s="95"/>
      <c r="F201" s="95"/>
      <c r="G201" s="95"/>
      <c r="H201" s="1581" t="s">
        <v>325</v>
      </c>
      <c r="I201" s="1581"/>
      <c r="J201" s="83"/>
      <c r="K201" s="83"/>
      <c r="L201" s="83"/>
      <c r="M201" s="83"/>
      <c r="N201" s="83"/>
      <c r="O201" s="83"/>
      <c r="P201" s="83"/>
      <c r="Q201" s="83"/>
      <c r="R201" s="83"/>
      <c r="S201" s="83"/>
      <c r="T201" s="83"/>
      <c r="U201" s="83"/>
      <c r="V201" s="83"/>
      <c r="W201" s="83"/>
      <c r="X201" s="83"/>
      <c r="Y201" s="83"/>
      <c r="Z201" s="83"/>
      <c r="AA201" s="83"/>
      <c r="AB201" s="83"/>
      <c r="AC201" s="4"/>
      <c r="AD201" s="37"/>
      <c r="AE201" s="19"/>
      <c r="AF201" s="19"/>
      <c r="AG201" s="19"/>
      <c r="AH201" s="19"/>
      <c r="AI201" s="19"/>
      <c r="AJ201" s="4"/>
      <c r="AK201" s="4"/>
      <c r="AL201" s="4"/>
      <c r="AM201" s="4"/>
      <c r="AN201" s="175"/>
      <c r="AP201" t="s">
        <v>1953</v>
      </c>
    </row>
    <row r="202" spans="1:42" customForma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c r="AP202" t="s">
        <v>1954</v>
      </c>
    </row>
    <row r="203" spans="1:42" customFormat="1" ht="12.75" customHeight="1">
      <c r="A203" s="76"/>
      <c r="B203" s="340"/>
      <c r="C203" s="102"/>
      <c r="D203" s="77"/>
      <c r="E203" s="77"/>
      <c r="F203" s="77"/>
      <c r="G203" s="77"/>
      <c r="H203" s="77"/>
      <c r="I203" s="77"/>
      <c r="J203" s="110"/>
      <c r="K203" s="110"/>
      <c r="L203" s="104"/>
      <c r="M203" s="104"/>
      <c r="N203" s="104"/>
      <c r="O203" s="104"/>
      <c r="P203" s="104"/>
      <c r="Q203" s="104"/>
      <c r="R203" s="104"/>
      <c r="S203" s="104"/>
      <c r="T203" s="104"/>
      <c r="U203" s="104"/>
      <c r="V203" s="104"/>
      <c r="W203" s="104"/>
      <c r="X203" s="104"/>
      <c r="Y203" s="97"/>
      <c r="Z203" s="97"/>
      <c r="AA203" s="97"/>
      <c r="AB203" s="77"/>
      <c r="AC203" s="340"/>
      <c r="AD203" s="77"/>
      <c r="AE203" s="77"/>
      <c r="AF203" s="77"/>
      <c r="AG203" s="77"/>
      <c r="AH203" s="77"/>
      <c r="AI203" s="53" t="s">
        <v>1955</v>
      </c>
      <c r="AJ203" s="1192">
        <f>VLOOKUP($H$201,$AO$151:$AP$153,2,FALSE)</f>
        <v>0</v>
      </c>
      <c r="AK203" s="1195"/>
      <c r="AL203" s="414"/>
      <c r="AM203" s="4"/>
      <c r="AN203" s="175"/>
      <c r="AP203" t="s">
        <v>1956</v>
      </c>
    </row>
    <row r="204" spans="1:42" customFormat="1">
      <c r="A204" s="4"/>
      <c r="B204" s="37"/>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7"/>
      <c r="AE204" s="19"/>
      <c r="AF204" s="19"/>
      <c r="AG204" s="19"/>
      <c r="AH204" s="19"/>
      <c r="AI204" s="19"/>
      <c r="AJ204" s="4"/>
      <c r="AK204" s="4"/>
      <c r="AL204" s="4"/>
      <c r="AM204" s="4"/>
      <c r="AN204" s="175"/>
      <c r="AP204" t="s">
        <v>1957</v>
      </c>
    </row>
    <row r="205" spans="1:42" customFormat="1" ht="12.75" customHeight="1">
      <c r="A205" s="4"/>
      <c r="B205" s="4"/>
      <c r="C205" s="3" t="s">
        <v>1958</v>
      </c>
      <c r="D205" s="108"/>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7"/>
      <c r="AE205" s="19"/>
      <c r="AF205" s="19"/>
      <c r="AG205" s="19"/>
      <c r="AH205" s="19"/>
      <c r="AI205" s="19"/>
      <c r="AJ205" s="4"/>
      <c r="AK205" s="4"/>
      <c r="AL205" s="4"/>
      <c r="AM205" s="4"/>
      <c r="AN205" s="175"/>
      <c r="AP205" t="s">
        <v>1959</v>
      </c>
    </row>
    <row r="206" spans="1:42" customFormat="1" ht="12.75" customHeight="1">
      <c r="A206" s="4"/>
      <c r="B206" s="37"/>
      <c r="C206" s="75"/>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7"/>
      <c r="AE206" s="19"/>
      <c r="AF206" s="19"/>
      <c r="AG206" s="19"/>
      <c r="AH206" s="19"/>
      <c r="AI206" s="19"/>
      <c r="AJ206" s="4"/>
      <c r="AK206" s="4"/>
      <c r="AL206" s="4"/>
      <c r="AM206" s="4"/>
      <c r="AN206" s="175"/>
      <c r="AP206" t="s">
        <v>1960</v>
      </c>
    </row>
    <row r="207" spans="1:42" customFormat="1" ht="12.75" customHeight="1">
      <c r="A207" s="32"/>
      <c r="B207" s="4"/>
      <c r="C207" s="38"/>
      <c r="D207" s="25" t="s">
        <v>18</v>
      </c>
      <c r="E207" s="1698" t="s">
        <v>1961</v>
      </c>
      <c r="F207" s="1698"/>
      <c r="G207" s="1698"/>
      <c r="H207" s="1698"/>
      <c r="I207" s="1698"/>
      <c r="J207" s="1698"/>
      <c r="K207" s="1698"/>
      <c r="L207" s="1698"/>
      <c r="M207" s="1698"/>
      <c r="N207" s="1698"/>
      <c r="O207" s="1698"/>
      <c r="P207" s="1698"/>
      <c r="Q207" s="1698"/>
      <c r="R207" s="1698"/>
      <c r="S207" s="1698"/>
      <c r="T207" s="1698"/>
      <c r="U207" s="1698"/>
      <c r="V207" s="1698"/>
      <c r="W207" s="1698"/>
      <c r="X207" s="1698"/>
      <c r="Y207" s="1698"/>
      <c r="Z207" s="1698"/>
      <c r="AA207" s="1698"/>
      <c r="AB207" s="1698"/>
      <c r="AC207" s="4"/>
      <c r="AD207" s="4"/>
      <c r="AF207" s="1593" t="s">
        <v>1867</v>
      </c>
      <c r="AG207" s="1593"/>
      <c r="AH207" s="1593"/>
      <c r="AI207" s="1593"/>
      <c r="AJ207" s="1593"/>
      <c r="AK207" s="1593"/>
      <c r="AL207" s="1593"/>
      <c r="AM207" s="4"/>
      <c r="AN207" s="175"/>
      <c r="AP207" t="s">
        <v>1962</v>
      </c>
    </row>
    <row r="208" spans="1:42" customFormat="1" ht="11.85" customHeight="1">
      <c r="A208" s="4"/>
      <c r="B208" s="37"/>
      <c r="C208" s="94"/>
      <c r="D208" s="25"/>
      <c r="E208" s="1698"/>
      <c r="F208" s="1698"/>
      <c r="G208" s="1698"/>
      <c r="H208" s="1698"/>
      <c r="I208" s="1698"/>
      <c r="J208" s="1698"/>
      <c r="K208" s="1698"/>
      <c r="L208" s="1698"/>
      <c r="M208" s="1698"/>
      <c r="N208" s="1698"/>
      <c r="O208" s="1698"/>
      <c r="P208" s="1698"/>
      <c r="Q208" s="1698"/>
      <c r="R208" s="1698"/>
      <c r="S208" s="1698"/>
      <c r="T208" s="1698"/>
      <c r="U208" s="1698"/>
      <c r="V208" s="1698"/>
      <c r="W208" s="1698"/>
      <c r="X208" s="1698"/>
      <c r="Y208" s="1698"/>
      <c r="Z208" s="1698"/>
      <c r="AA208" s="1698"/>
      <c r="AB208" s="1698"/>
      <c r="AC208" s="4"/>
      <c r="AD208" s="4"/>
      <c r="AE208" s="4"/>
      <c r="AM208" s="4"/>
      <c r="AN208" s="175"/>
      <c r="AP208" t="s">
        <v>1963</v>
      </c>
    </row>
    <row r="209" spans="1:52" customFormat="1" ht="14.1" customHeight="1">
      <c r="A209" s="4"/>
      <c r="B209" s="827"/>
      <c r="C209" s="38"/>
      <c r="D209" s="25"/>
      <c r="E209" s="1698"/>
      <c r="F209" s="1698"/>
      <c r="G209" s="1698"/>
      <c r="H209" s="1698"/>
      <c r="I209" s="1698"/>
      <c r="J209" s="1698"/>
      <c r="K209" s="1698"/>
      <c r="L209" s="1698"/>
      <c r="M209" s="1698"/>
      <c r="N209" s="1698"/>
      <c r="O209" s="1698"/>
      <c r="P209" s="1698"/>
      <c r="Q209" s="1698"/>
      <c r="R209" s="1698"/>
      <c r="S209" s="1698"/>
      <c r="T209" s="1698"/>
      <c r="U209" s="1698"/>
      <c r="V209" s="1698"/>
      <c r="W209" s="1698"/>
      <c r="X209" s="1698"/>
      <c r="Y209" s="1698"/>
      <c r="Z209" s="1698"/>
      <c r="AA209" s="1698"/>
      <c r="AB209" s="1698"/>
      <c r="AC209" s="4"/>
      <c r="AD209" s="4"/>
      <c r="AE209" s="19"/>
      <c r="AM209" s="4"/>
      <c r="AN209" s="175"/>
      <c r="AP209" t="s">
        <v>1964</v>
      </c>
    </row>
    <row r="210" spans="1:52" customFormat="1" ht="14.1" customHeight="1">
      <c r="A210" s="4"/>
      <c r="B210" s="37"/>
      <c r="C210" s="38"/>
      <c r="D210" s="25" t="s">
        <v>23</v>
      </c>
      <c r="E210" s="1594" t="s">
        <v>1965</v>
      </c>
      <c r="F210" s="1594"/>
      <c r="G210" s="1594"/>
      <c r="H210" s="1594"/>
      <c r="I210" s="1594"/>
      <c r="J210" s="1594"/>
      <c r="K210" s="1594"/>
      <c r="L210" s="1594"/>
      <c r="M210" s="1594"/>
      <c r="N210" s="1594"/>
      <c r="O210" s="1594"/>
      <c r="P210" s="1594"/>
      <c r="Q210" s="1594"/>
      <c r="R210" s="1594"/>
      <c r="S210" s="1594"/>
      <c r="T210" s="1594"/>
      <c r="U210" s="1594"/>
      <c r="V210" s="1594"/>
      <c r="W210" s="1594"/>
      <c r="X210" s="1594"/>
      <c r="Y210" s="1594"/>
      <c r="Z210" s="1594"/>
      <c r="AA210" s="1594"/>
      <c r="AB210" s="1594"/>
      <c r="AC210" s="4"/>
      <c r="AD210" s="4"/>
      <c r="AF210" s="1593" t="s">
        <v>1928</v>
      </c>
      <c r="AG210" s="1593"/>
      <c r="AH210" s="1593"/>
      <c r="AI210" s="1593"/>
      <c r="AJ210" s="1593"/>
      <c r="AK210" s="1593"/>
      <c r="AL210" s="1593"/>
      <c r="AM210" s="4"/>
      <c r="AN210" s="586"/>
      <c r="AP210" s="41" t="s">
        <v>1966</v>
      </c>
    </row>
    <row r="211" spans="1:52" customFormat="1" ht="12.75" customHeight="1">
      <c r="A211" s="4"/>
      <c r="B211" s="37"/>
      <c r="C211" s="94"/>
      <c r="D211" s="4"/>
      <c r="E211" s="1594"/>
      <c r="F211" s="1594"/>
      <c r="G211" s="1594"/>
      <c r="H211" s="1594"/>
      <c r="I211" s="1594"/>
      <c r="J211" s="1594"/>
      <c r="K211" s="1594"/>
      <c r="L211" s="1594"/>
      <c r="M211" s="1594"/>
      <c r="N211" s="1594"/>
      <c r="O211" s="1594"/>
      <c r="P211" s="1594"/>
      <c r="Q211" s="1594"/>
      <c r="R211" s="1594"/>
      <c r="S211" s="1594"/>
      <c r="T211" s="1594"/>
      <c r="U211" s="1594"/>
      <c r="V211" s="1594"/>
      <c r="W211" s="1594"/>
      <c r="X211" s="1594"/>
      <c r="Y211" s="1594"/>
      <c r="Z211" s="1594"/>
      <c r="AA211" s="1594"/>
      <c r="AB211" s="1594"/>
      <c r="AC211" s="4"/>
      <c r="AD211" s="37"/>
      <c r="AE211" s="4"/>
      <c r="AF211" s="4"/>
      <c r="AG211" s="4"/>
      <c r="AH211" s="4"/>
      <c r="AI211" s="4"/>
      <c r="AJ211" s="4"/>
      <c r="AK211" s="4"/>
      <c r="AL211" s="4"/>
      <c r="AM211" s="4"/>
      <c r="AN211" s="175"/>
      <c r="AP211" s="4" t="s">
        <v>325</v>
      </c>
      <c r="AQ211" s="397">
        <v>0</v>
      </c>
    </row>
    <row r="212" spans="1:52" customFormat="1" ht="14.1" customHeight="1">
      <c r="A212" s="4"/>
      <c r="B212" s="37"/>
      <c r="C212" s="94"/>
      <c r="D212" s="4"/>
      <c r="E212" s="1594"/>
      <c r="F212" s="1594"/>
      <c r="G212" s="1594"/>
      <c r="H212" s="1594"/>
      <c r="I212" s="1594"/>
      <c r="J212" s="1594"/>
      <c r="K212" s="1594"/>
      <c r="L212" s="1594"/>
      <c r="M212" s="1594"/>
      <c r="N212" s="1594"/>
      <c r="O212" s="1594"/>
      <c r="P212" s="1594"/>
      <c r="Q212" s="1594"/>
      <c r="R212" s="1594"/>
      <c r="S212" s="1594"/>
      <c r="T212" s="1594"/>
      <c r="U212" s="1594"/>
      <c r="V212" s="1594"/>
      <c r="W212" s="1594"/>
      <c r="X212" s="1594"/>
      <c r="Y212" s="1594"/>
      <c r="Z212" s="1594"/>
      <c r="AA212" s="1594"/>
      <c r="AB212" s="1594"/>
      <c r="AC212" s="4"/>
      <c r="AD212" s="37"/>
      <c r="AE212" s="4"/>
      <c r="AF212" s="4"/>
      <c r="AG212" s="4"/>
      <c r="AH212" s="4"/>
      <c r="AI212" s="4"/>
      <c r="AJ212" s="4"/>
      <c r="AK212" s="4"/>
      <c r="AL212" s="4"/>
      <c r="AM212" s="4"/>
      <c r="AN212" s="175"/>
      <c r="AP212" s="25" t="s">
        <v>18</v>
      </c>
      <c r="AQ212" s="4">
        <v>2</v>
      </c>
    </row>
    <row r="213" spans="1:52" customFormat="1" ht="14.1" customHeight="1">
      <c r="A213" s="4"/>
      <c r="B213" s="37"/>
      <c r="C213" s="94"/>
      <c r="D213" s="4" t="s">
        <v>1914</v>
      </c>
      <c r="E213" s="95"/>
      <c r="F213" s="95"/>
      <c r="G213" s="95"/>
      <c r="H213" s="1581" t="s">
        <v>325</v>
      </c>
      <c r="I213" s="1581"/>
      <c r="J213" s="111"/>
      <c r="K213" s="111"/>
      <c r="L213" s="111"/>
      <c r="M213" s="111"/>
      <c r="N213" s="111"/>
      <c r="O213" s="111"/>
      <c r="P213" s="111"/>
      <c r="Q213" s="111"/>
      <c r="R213" s="111"/>
      <c r="S213" s="111"/>
      <c r="T213" s="111"/>
      <c r="U213" s="111"/>
      <c r="V213" s="111"/>
      <c r="W213" s="111"/>
      <c r="X213" s="111"/>
      <c r="Y213" s="111"/>
      <c r="Z213" s="111"/>
      <c r="AA213" s="111"/>
      <c r="AB213" s="111"/>
      <c r="AC213" s="4"/>
      <c r="AD213" s="37"/>
      <c r="AE213" s="4"/>
      <c r="AF213" s="4"/>
      <c r="AG213" s="4"/>
      <c r="AH213" s="4"/>
      <c r="AI213" s="4"/>
      <c r="AJ213" s="4"/>
      <c r="AK213" s="4"/>
      <c r="AL213" s="4"/>
      <c r="AM213" s="4"/>
      <c r="AN213" s="175"/>
      <c r="AP213" s="25" t="s">
        <v>23</v>
      </c>
      <c r="AQ213" s="4">
        <v>3</v>
      </c>
    </row>
    <row r="214" spans="1:52" customFormat="1" ht="14.25" customHeight="1">
      <c r="A214" s="4"/>
      <c r="B214" s="37"/>
      <c r="C214" s="94"/>
      <c r="D214" s="4"/>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4"/>
      <c r="AD214" s="37"/>
      <c r="AE214" s="4"/>
      <c r="AF214" s="4"/>
      <c r="AG214" s="4"/>
      <c r="AH214" s="4"/>
      <c r="AI214" s="4"/>
      <c r="AJ214" s="4"/>
      <c r="AK214" s="4"/>
      <c r="AL214" s="4"/>
      <c r="AM214" s="4"/>
      <c r="AN214" s="175"/>
    </row>
    <row r="215" spans="1:52" customFormat="1" ht="12.75" customHeight="1">
      <c r="A215" s="76"/>
      <c r="B215" s="340"/>
      <c r="C215" s="96"/>
      <c r="D215" s="77"/>
      <c r="E215" s="77"/>
      <c r="F215" s="77"/>
      <c r="G215" s="77"/>
      <c r="H215" s="77"/>
      <c r="I215" s="77"/>
      <c r="J215" s="112"/>
      <c r="K215" s="112"/>
      <c r="L215" s="112"/>
      <c r="M215" s="112"/>
      <c r="N215" s="112"/>
      <c r="O215" s="112"/>
      <c r="P215" s="112"/>
      <c r="Q215" s="112"/>
      <c r="R215" s="112"/>
      <c r="S215" s="112"/>
      <c r="T215" s="112"/>
      <c r="U215" s="104"/>
      <c r="V215" s="104"/>
      <c r="W215" s="104"/>
      <c r="X215" s="104"/>
      <c r="Y215" s="97"/>
      <c r="Z215" s="97"/>
      <c r="AA215" s="97"/>
      <c r="AB215" s="77"/>
      <c r="AC215" s="340"/>
      <c r="AD215" s="77"/>
      <c r="AE215" s="77"/>
      <c r="AF215" s="77"/>
      <c r="AG215" s="77"/>
      <c r="AH215" s="77"/>
      <c r="AI215" s="53" t="s">
        <v>1967</v>
      </c>
      <c r="AJ215" s="1192">
        <f>VLOOKUP($H$213,$AO$151:$AP$153,2,FALSE)</f>
        <v>0</v>
      </c>
      <c r="AK215" s="1195"/>
      <c r="AL215" s="414"/>
      <c r="AM215" s="4"/>
      <c r="AN215" s="175"/>
      <c r="AP215" s="1192"/>
      <c r="AQ215" s="1195"/>
    </row>
    <row r="216" spans="1:52" customFormat="1">
      <c r="A216" s="4"/>
      <c r="B216" s="827"/>
      <c r="C216" s="38"/>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37"/>
      <c r="AE216" s="4"/>
      <c r="AF216" s="4"/>
      <c r="AG216" s="4"/>
      <c r="AH216" s="4"/>
      <c r="AI216" s="4"/>
      <c r="AJ216" s="4"/>
      <c r="AK216" s="4"/>
      <c r="AL216" s="4"/>
      <c r="AM216" s="4"/>
      <c r="AN216" s="175"/>
      <c r="AT216" s="21"/>
      <c r="AU216" s="21"/>
      <c r="AV216" s="21"/>
      <c r="AW216" s="21"/>
      <c r="AX216" s="21"/>
      <c r="AY216" s="21"/>
      <c r="AZ216" s="21"/>
    </row>
    <row r="217" spans="1:52" customFormat="1">
      <c r="A217" s="4"/>
      <c r="B217" s="4"/>
      <c r="C217" s="3" t="s">
        <v>1968</v>
      </c>
      <c r="D217" s="113"/>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37"/>
      <c r="AE217" s="4"/>
      <c r="AF217" s="4"/>
      <c r="AG217" s="4"/>
      <c r="AH217" s="4"/>
      <c r="AI217" s="4"/>
      <c r="AJ217" s="4"/>
      <c r="AK217" s="4"/>
      <c r="AL217" s="4"/>
      <c r="AM217" s="4"/>
      <c r="AN217" s="175"/>
      <c r="AT217" s="21"/>
      <c r="AU217" s="21"/>
      <c r="AV217" s="21"/>
      <c r="AW217" s="21"/>
      <c r="AX217" s="21"/>
      <c r="AY217" s="21"/>
      <c r="AZ217" s="21"/>
    </row>
    <row r="218" spans="1:52" customFormat="1">
      <c r="A218" s="4"/>
      <c r="B218" s="827"/>
      <c r="C218" s="38"/>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37"/>
      <c r="AE218" s="4"/>
      <c r="AF218" s="4"/>
      <c r="AG218" s="4"/>
      <c r="AH218" s="4"/>
      <c r="AI218" s="4"/>
      <c r="AJ218" s="4"/>
      <c r="AK218" s="4"/>
      <c r="AL218" s="4"/>
      <c r="AM218" s="4"/>
      <c r="AN218" s="175"/>
      <c r="AT218" s="21"/>
      <c r="AU218" s="21"/>
      <c r="AV218" s="21"/>
      <c r="AW218" s="21"/>
      <c r="AX218" s="21"/>
      <c r="AY218" s="21"/>
      <c r="AZ218" s="21"/>
    </row>
    <row r="219" spans="1:52" customFormat="1">
      <c r="A219" s="4"/>
      <c r="B219" s="4"/>
      <c r="C219" s="38"/>
      <c r="D219" s="25" t="s">
        <v>18</v>
      </c>
      <c r="E219" s="1582" t="s">
        <v>1969</v>
      </c>
      <c r="F219" s="1582"/>
      <c r="G219" s="1582"/>
      <c r="H219" s="1582"/>
      <c r="I219" s="1582"/>
      <c r="J219" s="1582"/>
      <c r="K219" s="1582"/>
      <c r="L219" s="1582"/>
      <c r="M219" s="1582"/>
      <c r="N219" s="1582"/>
      <c r="O219" s="1582"/>
      <c r="P219" s="1582"/>
      <c r="Q219" s="1582"/>
      <c r="R219" s="1582"/>
      <c r="S219" s="1582"/>
      <c r="T219" s="1582"/>
      <c r="U219" s="1582"/>
      <c r="V219" s="1582"/>
      <c r="W219" s="1582"/>
      <c r="X219" s="1582"/>
      <c r="Y219" s="1582"/>
      <c r="Z219" s="1582"/>
      <c r="AA219" s="1582"/>
      <c r="AB219" s="1582"/>
      <c r="AC219" s="4"/>
      <c r="AD219" s="4"/>
      <c r="AF219" s="1593" t="s">
        <v>1867</v>
      </c>
      <c r="AG219" s="1593"/>
      <c r="AH219" s="1593"/>
      <c r="AI219" s="1593"/>
      <c r="AJ219" s="1593"/>
      <c r="AK219" s="1593"/>
      <c r="AL219" s="1593"/>
      <c r="AM219" s="4"/>
      <c r="AN219" s="175"/>
      <c r="AT219" s="21"/>
      <c r="AU219" s="21"/>
      <c r="AV219" s="21"/>
      <c r="AW219" s="21"/>
      <c r="AX219" s="21"/>
      <c r="AY219" s="21"/>
      <c r="AZ219" s="21"/>
    </row>
    <row r="220" spans="1:52" customFormat="1">
      <c r="A220" s="4"/>
      <c r="B220" s="37"/>
      <c r="C220" s="94"/>
      <c r="D220" s="25"/>
      <c r="E220" s="1582"/>
      <c r="F220" s="1582"/>
      <c r="G220" s="1582"/>
      <c r="H220" s="1582"/>
      <c r="I220" s="1582"/>
      <c r="J220" s="1582"/>
      <c r="K220" s="1582"/>
      <c r="L220" s="1582"/>
      <c r="M220" s="1582"/>
      <c r="N220" s="1582"/>
      <c r="O220" s="1582"/>
      <c r="P220" s="1582"/>
      <c r="Q220" s="1582"/>
      <c r="R220" s="1582"/>
      <c r="S220" s="1582"/>
      <c r="T220" s="1582"/>
      <c r="U220" s="1582"/>
      <c r="V220" s="1582"/>
      <c r="W220" s="1582"/>
      <c r="X220" s="1582"/>
      <c r="Y220" s="1582"/>
      <c r="Z220" s="1582"/>
      <c r="AA220" s="1582"/>
      <c r="AB220" s="1582"/>
      <c r="AC220" s="4"/>
      <c r="AD220" s="4"/>
      <c r="AE220" s="4"/>
      <c r="AF220" s="37"/>
      <c r="AG220" s="4"/>
      <c r="AH220" s="4"/>
      <c r="AI220" s="4"/>
      <c r="AJ220" s="4"/>
      <c r="AK220" s="4"/>
      <c r="AL220" s="4"/>
      <c r="AM220" s="4"/>
      <c r="AN220" s="175"/>
      <c r="AT220" s="21"/>
      <c r="AU220" s="21"/>
      <c r="AV220" s="21"/>
      <c r="AW220" s="21"/>
      <c r="AX220" s="21"/>
      <c r="AY220" s="21"/>
      <c r="AZ220" s="21"/>
    </row>
    <row r="221" spans="1:52" customFormat="1">
      <c r="A221" s="4"/>
      <c r="B221" s="827"/>
      <c r="C221" s="38"/>
      <c r="D221" s="25"/>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37"/>
      <c r="AG221" s="4"/>
      <c r="AH221" s="4"/>
      <c r="AI221" s="4"/>
      <c r="AJ221" s="4"/>
      <c r="AK221" s="4"/>
      <c r="AL221" s="4"/>
      <c r="AM221" s="4"/>
      <c r="AN221" s="175"/>
      <c r="AT221" s="21"/>
      <c r="AU221" s="21"/>
      <c r="AV221" s="21"/>
      <c r="AW221" s="21"/>
      <c r="AX221" s="21"/>
      <c r="AY221" s="21"/>
      <c r="AZ221" s="21"/>
    </row>
    <row r="222" spans="1:52" customFormat="1" ht="12.75" customHeight="1">
      <c r="A222" s="4"/>
      <c r="B222" s="37"/>
      <c r="C222" s="38"/>
      <c r="D222" s="25" t="s">
        <v>23</v>
      </c>
      <c r="E222" s="1582" t="s">
        <v>1970</v>
      </c>
      <c r="F222" s="1582"/>
      <c r="G222" s="1582"/>
      <c r="H222" s="1582"/>
      <c r="I222" s="1582"/>
      <c r="J222" s="1582"/>
      <c r="K222" s="1582"/>
      <c r="L222" s="1582"/>
      <c r="M222" s="1582"/>
      <c r="N222" s="1582"/>
      <c r="O222" s="1582"/>
      <c r="P222" s="1582"/>
      <c r="Q222" s="1582"/>
      <c r="R222" s="1582"/>
      <c r="S222" s="1582"/>
      <c r="T222" s="1582"/>
      <c r="U222" s="1582"/>
      <c r="V222" s="1582"/>
      <c r="W222" s="1582"/>
      <c r="X222" s="1582"/>
      <c r="Y222" s="1582"/>
      <c r="Z222" s="1582"/>
      <c r="AA222" s="1582"/>
      <c r="AB222" s="1582"/>
      <c r="AC222" s="4"/>
      <c r="AD222" s="4"/>
      <c r="AF222" s="1593" t="s">
        <v>1928</v>
      </c>
      <c r="AG222" s="1593"/>
      <c r="AH222" s="1593"/>
      <c r="AI222" s="1593"/>
      <c r="AJ222" s="1593"/>
      <c r="AK222" s="1593"/>
      <c r="AL222" s="1593"/>
      <c r="AM222" s="4"/>
      <c r="AN222" s="175"/>
      <c r="AT222" s="21"/>
      <c r="AU222" s="21"/>
      <c r="AV222" s="21"/>
      <c r="AW222" s="21"/>
      <c r="AX222" s="21"/>
      <c r="AY222" s="21"/>
      <c r="AZ222" s="21"/>
    </row>
    <row r="223" spans="1:52" customFormat="1">
      <c r="A223" s="4"/>
      <c r="B223" s="37"/>
      <c r="C223" s="94"/>
      <c r="D223" s="4"/>
      <c r="E223" s="1582"/>
      <c r="F223" s="1582"/>
      <c r="G223" s="1582"/>
      <c r="H223" s="1582"/>
      <c r="I223" s="1582"/>
      <c r="J223" s="1582"/>
      <c r="K223" s="1582"/>
      <c r="L223" s="1582"/>
      <c r="M223" s="1582"/>
      <c r="N223" s="1582"/>
      <c r="O223" s="1582"/>
      <c r="P223" s="1582"/>
      <c r="Q223" s="1582"/>
      <c r="R223" s="1582"/>
      <c r="S223" s="1582"/>
      <c r="T223" s="1582"/>
      <c r="U223" s="1582"/>
      <c r="V223" s="1582"/>
      <c r="W223" s="1582"/>
      <c r="X223" s="1582"/>
      <c r="Y223" s="1582"/>
      <c r="Z223" s="1582"/>
      <c r="AA223" s="1582"/>
      <c r="AB223" s="1582"/>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37"/>
      <c r="C224" s="94"/>
      <c r="D224" s="4"/>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4"/>
      <c r="AD224" s="37"/>
      <c r="AE224" s="4"/>
      <c r="AF224" s="4"/>
      <c r="AG224" s="4"/>
      <c r="AH224" s="4"/>
      <c r="AI224" s="4"/>
      <c r="AJ224" s="4"/>
      <c r="AK224" s="4"/>
      <c r="AL224" s="4"/>
      <c r="AM224" s="4"/>
      <c r="AN224" s="175"/>
      <c r="AT224" s="21"/>
      <c r="AU224" s="21"/>
      <c r="AV224" s="21"/>
      <c r="AW224" s="21"/>
      <c r="AX224" s="21"/>
      <c r="AY224" s="21"/>
      <c r="AZ224" s="21"/>
    </row>
    <row r="225" spans="1:82" customFormat="1" ht="12.75" customHeight="1">
      <c r="A225" s="4"/>
      <c r="B225" s="37"/>
      <c r="C225" s="94"/>
      <c r="D225" s="4" t="s">
        <v>1914</v>
      </c>
      <c r="E225" s="95"/>
      <c r="F225" s="95"/>
      <c r="G225" s="95"/>
      <c r="H225" s="1581" t="s">
        <v>325</v>
      </c>
      <c r="I225" s="1581"/>
      <c r="J225" s="83"/>
      <c r="K225" s="83"/>
      <c r="L225" s="83"/>
      <c r="M225" s="83"/>
      <c r="N225" s="83"/>
      <c r="O225" s="83"/>
      <c r="P225" s="83"/>
      <c r="Q225" s="83"/>
      <c r="R225" s="83"/>
      <c r="S225" s="83"/>
      <c r="T225" s="83"/>
      <c r="U225" s="83"/>
      <c r="V225" s="83"/>
      <c r="W225" s="83"/>
      <c r="X225" s="83"/>
      <c r="Y225" s="83"/>
      <c r="Z225" s="83"/>
      <c r="AA225" s="83"/>
      <c r="AB225" s="83"/>
      <c r="AC225" s="4"/>
      <c r="AD225" s="37"/>
      <c r="AE225" s="4"/>
      <c r="AF225" s="4"/>
      <c r="AG225" s="4"/>
      <c r="AH225" s="4"/>
      <c r="AI225" s="4"/>
      <c r="AJ225" s="4"/>
      <c r="AK225" s="4"/>
      <c r="AL225" s="4"/>
      <c r="AM225" s="4"/>
      <c r="AN225" s="175"/>
      <c r="AT225" s="21"/>
      <c r="AU225" s="21"/>
      <c r="AV225" s="21"/>
      <c r="AW225" s="21"/>
      <c r="AX225" s="21"/>
      <c r="AY225" s="21"/>
      <c r="AZ225" s="21"/>
    </row>
    <row r="226" spans="1:82" customFormat="1">
      <c r="A226" s="4"/>
      <c r="B226" s="37"/>
      <c r="C226" s="94"/>
      <c r="D226" s="4"/>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4"/>
      <c r="AD226" s="37"/>
      <c r="AE226" s="4"/>
      <c r="AF226" s="4"/>
      <c r="AG226" s="4"/>
      <c r="AH226" s="4"/>
      <c r="AI226" s="4"/>
      <c r="AJ226" s="4"/>
      <c r="AK226" s="4"/>
      <c r="AL226" s="4"/>
      <c r="AM226" s="4"/>
      <c r="AN226" s="175"/>
      <c r="AS226" s="21"/>
      <c r="AT226" s="21"/>
      <c r="AU226" s="21"/>
      <c r="AV226" s="21"/>
      <c r="AW226" s="21"/>
      <c r="AX226" s="21"/>
      <c r="AY226" s="21"/>
      <c r="AZ226" s="21"/>
      <c r="BA226" s="21"/>
      <c r="BB226" s="21"/>
      <c r="BC226" s="21"/>
      <c r="BD226" s="36"/>
      <c r="BE226" s="36"/>
      <c r="BF226" s="36"/>
      <c r="BG226" s="36"/>
      <c r="BH226" s="36"/>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76"/>
      <c r="B227" s="340"/>
      <c r="C227" s="96"/>
      <c r="D227" s="77"/>
      <c r="E227" s="110"/>
      <c r="F227" s="110"/>
      <c r="G227" s="110"/>
      <c r="H227" s="110"/>
      <c r="I227" s="110"/>
      <c r="J227" s="110"/>
      <c r="K227" s="110"/>
      <c r="L227" s="110"/>
      <c r="M227" s="110"/>
      <c r="N227" s="110"/>
      <c r="O227" s="110"/>
      <c r="P227" s="110"/>
      <c r="Q227" s="110"/>
      <c r="R227" s="110"/>
      <c r="S227" s="110"/>
      <c r="T227" s="110"/>
      <c r="U227" s="110"/>
      <c r="V227" s="104"/>
      <c r="W227" s="104"/>
      <c r="X227" s="104"/>
      <c r="Y227" s="97"/>
      <c r="Z227" s="97"/>
      <c r="AA227" s="97"/>
      <c r="AB227" s="77"/>
      <c r="AC227" s="340"/>
      <c r="AD227" s="77"/>
      <c r="AE227" s="77"/>
      <c r="AF227" s="77"/>
      <c r="AG227" s="77"/>
      <c r="AH227" s="77"/>
      <c r="AI227" s="53" t="s">
        <v>1971</v>
      </c>
      <c r="AJ227" s="1192">
        <f>VLOOKUP($H$225,$AO$165:$AP$167,2,FALSE)</f>
        <v>0</v>
      </c>
      <c r="AK227" s="1195"/>
      <c r="AL227" s="414"/>
      <c r="AM227" s="4"/>
      <c r="AN227" s="175"/>
      <c r="AS227" s="21"/>
      <c r="AT227" s="21"/>
      <c r="AU227" s="21"/>
      <c r="AV227" s="21"/>
      <c r="AW227" s="21"/>
      <c r="AX227" s="21"/>
      <c r="AY227" s="21"/>
      <c r="AZ227" s="21"/>
      <c r="BA227" s="21"/>
      <c r="BB227" s="21"/>
      <c r="BC227" s="21"/>
      <c r="BD227" s="36"/>
      <c r="BE227" s="36"/>
      <c r="BF227" s="36"/>
      <c r="BG227" s="36"/>
      <c r="BH227" s="36"/>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37"/>
      <c r="C228" s="94"/>
      <c r="D228" s="4"/>
      <c r="E228" s="4"/>
      <c r="F228" s="4"/>
      <c r="G228" s="4"/>
      <c r="H228" s="4"/>
      <c r="I228" s="4"/>
      <c r="J228" s="83"/>
      <c r="K228" s="83"/>
      <c r="L228" s="83"/>
      <c r="M228" s="8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75"/>
      <c r="AS228" s="21"/>
      <c r="AT228" s="21"/>
      <c r="AU228" s="21"/>
      <c r="AV228" s="21"/>
      <c r="AW228" s="21"/>
      <c r="AX228" s="21"/>
      <c r="AY228" s="21"/>
      <c r="AZ228" s="21"/>
      <c r="BA228" s="21"/>
      <c r="BB228" s="21"/>
      <c r="BC228" s="21"/>
      <c r="BD228" s="36"/>
      <c r="BE228" s="36"/>
      <c r="BF228" s="36"/>
      <c r="BG228" s="36"/>
      <c r="BH228" s="36"/>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1972</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827"/>
      <c r="C230" s="114"/>
      <c r="D230" s="32"/>
      <c r="E230" s="32"/>
      <c r="F230" s="4"/>
      <c r="G230" s="4"/>
      <c r="H230" s="32"/>
      <c r="I230" s="32"/>
      <c r="J230" s="32"/>
      <c r="K230" s="32"/>
      <c r="L230" s="32"/>
      <c r="M230" s="32"/>
      <c r="N230" s="32"/>
      <c r="O230" s="32"/>
      <c r="P230" s="32"/>
      <c r="Q230" s="32"/>
      <c r="R230" s="32"/>
      <c r="S230" s="32"/>
      <c r="T230" s="4"/>
      <c r="U230" s="4"/>
      <c r="V230" s="4"/>
      <c r="W230" s="4"/>
      <c r="X230" s="99"/>
      <c r="Y230" s="99"/>
      <c r="Z230" s="99"/>
      <c r="AA230" s="99"/>
      <c r="AB230" s="99"/>
      <c r="AC230" s="22"/>
      <c r="AD230" s="37"/>
      <c r="AE230" s="4"/>
      <c r="AF230" s="4"/>
      <c r="AG230" s="4"/>
      <c r="AH230" s="4"/>
      <c r="AI230" s="4"/>
      <c r="AJ230" s="4"/>
      <c r="AK230" s="4"/>
      <c r="AL230" s="4"/>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38"/>
      <c r="D231" s="25" t="s">
        <v>18</v>
      </c>
      <c r="E231" s="1582" t="s">
        <v>1973</v>
      </c>
      <c r="F231" s="1582"/>
      <c r="G231" s="1582"/>
      <c r="H231" s="1582"/>
      <c r="I231" s="1582"/>
      <c r="J231" s="1582"/>
      <c r="K231" s="1582"/>
      <c r="L231" s="1582"/>
      <c r="M231" s="1582"/>
      <c r="N231" s="1582"/>
      <c r="O231" s="1582"/>
      <c r="P231" s="1582"/>
      <c r="Q231" s="1582"/>
      <c r="R231" s="1582"/>
      <c r="S231" s="1582"/>
      <c r="T231" s="1582"/>
      <c r="U231" s="1582"/>
      <c r="V231" s="1582"/>
      <c r="W231" s="1582"/>
      <c r="X231" s="1582"/>
      <c r="Y231" s="1582"/>
      <c r="Z231" s="1582"/>
      <c r="AA231" s="1582"/>
      <c r="AB231" s="1582"/>
      <c r="AC231" s="4"/>
      <c r="AD231" s="4"/>
      <c r="AF231" s="1593" t="s">
        <v>1867</v>
      </c>
      <c r="AG231" s="1593"/>
      <c r="AH231" s="1593"/>
      <c r="AI231" s="1593"/>
      <c r="AJ231" s="1593"/>
      <c r="AK231" s="1593"/>
      <c r="AL231" s="1593"/>
      <c r="AM231" s="4"/>
      <c r="AN231" s="175"/>
      <c r="AT231" s="21"/>
      <c r="AU231" s="21"/>
      <c r="AV231" s="21"/>
      <c r="AW231" s="21"/>
      <c r="AX231" s="21"/>
      <c r="AY231" s="21"/>
      <c r="AZ231" s="21"/>
    </row>
    <row r="232" spans="1:82" customFormat="1">
      <c r="A232" s="4"/>
      <c r="B232" s="37"/>
      <c r="C232" s="94"/>
      <c r="D232" s="25"/>
      <c r="E232" s="1582"/>
      <c r="F232" s="1582"/>
      <c r="G232" s="1582"/>
      <c r="H232" s="1582"/>
      <c r="I232" s="1582"/>
      <c r="J232" s="1582"/>
      <c r="K232" s="1582"/>
      <c r="L232" s="1582"/>
      <c r="M232" s="1582"/>
      <c r="N232" s="1582"/>
      <c r="O232" s="1582"/>
      <c r="P232" s="1582"/>
      <c r="Q232" s="1582"/>
      <c r="R232" s="1582"/>
      <c r="S232" s="1582"/>
      <c r="T232" s="1582"/>
      <c r="U232" s="1582"/>
      <c r="V232" s="1582"/>
      <c r="W232" s="1582"/>
      <c r="X232" s="1582"/>
      <c r="Y232" s="1582"/>
      <c r="Z232" s="1582"/>
      <c r="AA232" s="1582"/>
      <c r="AB232" s="1582"/>
      <c r="AC232" s="4"/>
      <c r="AD232" s="4"/>
      <c r="AL232" s="4"/>
      <c r="AM232" s="4"/>
      <c r="AN232" s="175"/>
    </row>
    <row r="233" spans="1:82" customFormat="1" ht="12.75" customHeight="1">
      <c r="A233" s="4"/>
      <c r="B233" s="37"/>
      <c r="C233" s="94"/>
      <c r="D233" s="25"/>
      <c r="E233" s="1582"/>
      <c r="F233" s="1582"/>
      <c r="G233" s="1582"/>
      <c r="H233" s="1582"/>
      <c r="I233" s="1582"/>
      <c r="J233" s="1582"/>
      <c r="K233" s="1582"/>
      <c r="L233" s="1582"/>
      <c r="M233" s="1582"/>
      <c r="N233" s="1582"/>
      <c r="O233" s="1582"/>
      <c r="P233" s="1582"/>
      <c r="Q233" s="1582"/>
      <c r="R233" s="1582"/>
      <c r="S233" s="1582"/>
      <c r="T233" s="1582"/>
      <c r="U233" s="1582"/>
      <c r="V233" s="1582"/>
      <c r="W233" s="1582"/>
      <c r="X233" s="1582"/>
      <c r="Y233" s="1582"/>
      <c r="Z233" s="1582"/>
      <c r="AA233" s="1582"/>
      <c r="AB233" s="1582"/>
      <c r="AC233" s="4"/>
      <c r="AD233" s="4"/>
      <c r="AE233" s="4"/>
      <c r="AF233" s="37"/>
      <c r="AG233" s="4"/>
      <c r="AH233" s="4"/>
      <c r="AI233" s="4"/>
      <c r="AJ233" s="4"/>
      <c r="AK233" s="4"/>
      <c r="AL233" s="4"/>
      <c r="AM233" s="4"/>
      <c r="AN233" s="583"/>
      <c r="AO233" s="21"/>
    </row>
    <row r="234" spans="1:82" customFormat="1">
      <c r="A234" s="99"/>
      <c r="B234" s="414"/>
      <c r="C234" s="38"/>
      <c r="D234" s="25"/>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4"/>
      <c r="AD234" s="4"/>
      <c r="AE234" s="4"/>
      <c r="AM234" s="4"/>
      <c r="AN234" s="175"/>
      <c r="AO234" s="34"/>
      <c r="AP234" s="21"/>
    </row>
    <row r="235" spans="1:82" customFormat="1">
      <c r="A235" s="4"/>
      <c r="B235" s="37"/>
      <c r="C235" s="38"/>
      <c r="D235" s="25" t="s">
        <v>23</v>
      </c>
      <c r="E235" s="1582" t="s">
        <v>1974</v>
      </c>
      <c r="F235" s="1582"/>
      <c r="G235" s="1582"/>
      <c r="H235" s="1582"/>
      <c r="I235" s="1582"/>
      <c r="J235" s="1582"/>
      <c r="K235" s="1582"/>
      <c r="L235" s="1582"/>
      <c r="M235" s="1582"/>
      <c r="N235" s="1582"/>
      <c r="O235" s="1582"/>
      <c r="P235" s="1582"/>
      <c r="Q235" s="1582"/>
      <c r="R235" s="1582"/>
      <c r="S235" s="1582"/>
      <c r="T235" s="1582"/>
      <c r="U235" s="1582"/>
      <c r="V235" s="1582"/>
      <c r="W235" s="1582"/>
      <c r="X235" s="1582"/>
      <c r="Y235" s="1582"/>
      <c r="Z235" s="1582"/>
      <c r="AA235" s="1582"/>
      <c r="AB235" s="283"/>
      <c r="AC235" s="4"/>
      <c r="AD235" s="4"/>
      <c r="AF235" s="1593" t="s">
        <v>1928</v>
      </c>
      <c r="AG235" s="1593"/>
      <c r="AH235" s="1593"/>
      <c r="AI235" s="1593"/>
      <c r="AJ235" s="1593"/>
      <c r="AK235" s="1593"/>
      <c r="AL235" s="1593"/>
      <c r="AM235" s="4"/>
      <c r="AN235" s="175"/>
      <c r="AO235" s="34"/>
      <c r="AP235" s="21"/>
    </row>
    <row r="236" spans="1:82" customFormat="1">
      <c r="A236" s="4"/>
      <c r="B236" s="37"/>
      <c r="C236" s="38"/>
      <c r="D236" s="4"/>
      <c r="E236" s="1582"/>
      <c r="F236" s="1582"/>
      <c r="G236" s="1582"/>
      <c r="H236" s="1582"/>
      <c r="I236" s="1582"/>
      <c r="J236" s="1582"/>
      <c r="K236" s="1582"/>
      <c r="L236" s="1582"/>
      <c r="M236" s="1582"/>
      <c r="N236" s="1582"/>
      <c r="O236" s="1582"/>
      <c r="P236" s="1582"/>
      <c r="Q236" s="1582"/>
      <c r="R236" s="1582"/>
      <c r="S236" s="1582"/>
      <c r="T236" s="1582"/>
      <c r="U236" s="1582"/>
      <c r="V236" s="1582"/>
      <c r="W236" s="1582"/>
      <c r="X236" s="1582"/>
      <c r="Y236" s="1582"/>
      <c r="Z236" s="1582"/>
      <c r="AA236" s="1582"/>
      <c r="AB236" s="283"/>
      <c r="AC236" s="88"/>
      <c r="AD236" s="88"/>
      <c r="AE236" s="88"/>
      <c r="AF236" s="88"/>
      <c r="AG236" s="88"/>
      <c r="AH236" s="88"/>
      <c r="AI236" s="88"/>
      <c r="AJ236" s="4"/>
      <c r="AK236" s="4"/>
      <c r="AL236" s="4"/>
      <c r="AM236" s="4"/>
      <c r="AN236" s="175"/>
      <c r="AO236" s="34"/>
      <c r="AP236" s="21"/>
    </row>
    <row r="237" spans="1:82" customFormat="1">
      <c r="A237" s="4"/>
      <c r="B237" s="37"/>
      <c r="C237" s="38"/>
      <c r="D237" s="4"/>
      <c r="E237" s="1582"/>
      <c r="F237" s="1582"/>
      <c r="G237" s="1582"/>
      <c r="H237" s="1582"/>
      <c r="I237" s="1582"/>
      <c r="J237" s="1582"/>
      <c r="K237" s="1582"/>
      <c r="L237" s="1582"/>
      <c r="M237" s="1582"/>
      <c r="N237" s="1582"/>
      <c r="O237" s="1582"/>
      <c r="P237" s="1582"/>
      <c r="Q237" s="1582"/>
      <c r="R237" s="1582"/>
      <c r="S237" s="1582"/>
      <c r="T237" s="1582"/>
      <c r="U237" s="1582"/>
      <c r="V237" s="1582"/>
      <c r="W237" s="1582"/>
      <c r="X237" s="1582"/>
      <c r="Y237" s="1582"/>
      <c r="Z237" s="1582"/>
      <c r="AA237" s="1582"/>
      <c r="AB237" s="283"/>
      <c r="AC237" s="88"/>
      <c r="AD237" s="88"/>
      <c r="AE237" s="88"/>
      <c r="AF237" s="88"/>
      <c r="AG237" s="88"/>
      <c r="AH237" s="88"/>
      <c r="AI237" s="88"/>
      <c r="AJ237" s="4"/>
      <c r="AK237" s="4"/>
      <c r="AL237" s="4"/>
      <c r="AM237" s="4"/>
      <c r="AN237" s="175"/>
      <c r="AO237" s="34"/>
      <c r="AP237" s="21"/>
    </row>
    <row r="238" spans="1:82" customFormat="1">
      <c r="A238" s="4"/>
      <c r="B238" s="37"/>
      <c r="C238" s="38"/>
      <c r="D238" s="4"/>
      <c r="E238" s="26"/>
      <c r="F238" s="26"/>
      <c r="G238" s="26"/>
      <c r="H238" s="26"/>
      <c r="I238" s="26"/>
      <c r="J238" s="26"/>
      <c r="K238" s="26"/>
      <c r="L238" s="26"/>
      <c r="M238" s="26"/>
      <c r="N238" s="26"/>
      <c r="O238" s="26"/>
      <c r="P238" s="26"/>
      <c r="Q238" s="26"/>
      <c r="R238" s="26"/>
      <c r="S238" s="26"/>
      <c r="T238" s="26"/>
      <c r="U238" s="26"/>
      <c r="V238" s="26"/>
      <c r="W238" s="26"/>
      <c r="X238" s="26"/>
      <c r="Y238" s="26"/>
      <c r="Z238" s="26"/>
      <c r="AA238" s="26"/>
      <c r="AB238" s="26"/>
      <c r="AC238" s="88"/>
      <c r="AD238" s="88"/>
      <c r="AE238" s="88"/>
      <c r="AF238" s="88"/>
      <c r="AG238" s="88"/>
      <c r="AH238" s="88"/>
      <c r="AI238" s="88"/>
      <c r="AJ238" s="4"/>
      <c r="AK238" s="4"/>
      <c r="AL238" s="4"/>
      <c r="AM238" s="4"/>
      <c r="AN238" s="175"/>
    </row>
    <row r="239" spans="1:82" customFormat="1" ht="12.75" customHeight="1">
      <c r="A239" s="4"/>
      <c r="B239" s="37"/>
      <c r="C239" s="38"/>
      <c r="D239" s="4" t="s">
        <v>1914</v>
      </c>
      <c r="E239" s="95"/>
      <c r="F239" s="95"/>
      <c r="G239" s="95"/>
      <c r="H239" s="1581" t="s">
        <v>325</v>
      </c>
      <c r="I239" s="1581"/>
      <c r="J239" s="26"/>
      <c r="K239" s="26"/>
      <c r="L239" s="26"/>
      <c r="M239" s="26"/>
      <c r="N239" s="26"/>
      <c r="O239" s="26"/>
      <c r="P239" s="26"/>
      <c r="Q239" s="26"/>
      <c r="R239" s="26"/>
      <c r="S239" s="26"/>
      <c r="T239" s="26"/>
      <c r="U239" s="26"/>
      <c r="V239" s="26"/>
      <c r="W239" s="26"/>
      <c r="X239" s="26"/>
      <c r="Y239" s="26"/>
      <c r="Z239" s="26"/>
      <c r="AA239" s="26"/>
      <c r="AB239" s="26"/>
      <c r="AC239" s="88"/>
      <c r="AD239" s="88"/>
      <c r="AE239" s="88"/>
      <c r="AF239" s="88"/>
      <c r="AG239" s="88"/>
      <c r="AH239" s="88"/>
      <c r="AI239" s="88"/>
      <c r="AJ239" s="4"/>
      <c r="AK239" s="4"/>
      <c r="AL239" s="4"/>
      <c r="AM239" s="4"/>
      <c r="AN239" s="175"/>
    </row>
    <row r="240" spans="1:82" customFormat="1" ht="12.75" customHeight="1">
      <c r="A240" s="4"/>
      <c r="B240" s="37"/>
      <c r="C240" s="38"/>
      <c r="D240" s="4"/>
      <c r="E240" s="26"/>
      <c r="F240" s="26"/>
      <c r="G240" s="26"/>
      <c r="H240" s="26"/>
      <c r="I240" s="26"/>
      <c r="J240" s="26"/>
      <c r="K240" s="26"/>
      <c r="L240" s="26"/>
      <c r="M240" s="26"/>
      <c r="N240" s="26"/>
      <c r="O240" s="26"/>
      <c r="P240" s="26"/>
      <c r="Q240" s="26"/>
      <c r="R240" s="26"/>
      <c r="S240" s="26"/>
      <c r="T240" s="26"/>
      <c r="U240" s="26"/>
      <c r="V240" s="26"/>
      <c r="W240" s="26"/>
      <c r="X240" s="26"/>
      <c r="Y240" s="26"/>
      <c r="Z240" s="26"/>
      <c r="AA240" s="26"/>
      <c r="AB240" s="26"/>
      <c r="AC240" s="88"/>
      <c r="AD240" s="88"/>
      <c r="AE240" s="88"/>
      <c r="AF240" s="88"/>
      <c r="AG240" s="88"/>
      <c r="AH240" s="88"/>
      <c r="AI240" s="88"/>
      <c r="AJ240" s="4"/>
      <c r="AK240" s="4"/>
      <c r="AL240" s="4"/>
      <c r="AM240" s="4"/>
      <c r="AN240" s="583"/>
      <c r="AO240" s="34"/>
      <c r="AP240" s="21"/>
      <c r="AQ240" s="21"/>
      <c r="AR240" s="21"/>
      <c r="AS240" s="21"/>
      <c r="AT240" s="21"/>
      <c r="AU240" s="21"/>
      <c r="AV240" s="21"/>
      <c r="AW240" s="21"/>
      <c r="AX240" s="21"/>
      <c r="AY240" s="21"/>
      <c r="AZ240" s="21"/>
      <c r="BA240" s="21"/>
      <c r="BB240" s="21"/>
      <c r="BC240" s="21"/>
      <c r="BD240" s="36"/>
      <c r="BE240" s="36"/>
      <c r="BF240" s="36"/>
      <c r="BG240" s="36"/>
      <c r="BH240" s="36"/>
      <c r="BI240" s="21"/>
      <c r="BJ240" s="21"/>
      <c r="BK240" s="21"/>
      <c r="BL240" s="21"/>
      <c r="BM240" s="21"/>
      <c r="BN240" s="21"/>
      <c r="BO240" s="21"/>
      <c r="BP240" s="21"/>
      <c r="BQ240" s="21"/>
      <c r="BR240" s="21"/>
      <c r="BS240" s="21"/>
      <c r="BT240" s="21"/>
      <c r="BU240" s="21"/>
      <c r="BV240" s="21"/>
    </row>
    <row r="241" spans="1:74" customFormat="1">
      <c r="A241" s="76"/>
      <c r="B241" s="340"/>
      <c r="C241" s="102"/>
      <c r="D241" s="77"/>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115"/>
      <c r="AC241" s="115"/>
      <c r="AD241" s="115"/>
      <c r="AE241" s="115"/>
      <c r="AF241" s="115"/>
      <c r="AG241" s="115"/>
      <c r="AH241" s="77"/>
      <c r="AI241" s="53" t="s">
        <v>1975</v>
      </c>
      <c r="AJ241" s="1192">
        <f>VLOOKUP($H$239,$AO$178:$AP$180,2,FALSE)</f>
        <v>0</v>
      </c>
      <c r="AK241" s="1195"/>
      <c r="AL241" s="414"/>
      <c r="AM241" s="4"/>
      <c r="AN241" s="583"/>
      <c r="AO241" s="34"/>
      <c r="AP241" s="21"/>
      <c r="AQ241" s="21"/>
      <c r="AR241" s="21"/>
      <c r="AS241" s="21"/>
      <c r="AT241" s="21"/>
      <c r="AU241" s="21"/>
      <c r="AV241" s="21"/>
      <c r="AW241" s="21"/>
      <c r="AX241" s="21"/>
      <c r="AY241" s="21"/>
      <c r="AZ241" s="21"/>
      <c r="BA241" s="21"/>
      <c r="BB241" s="21"/>
      <c r="BC241" s="21"/>
      <c r="BD241" s="36"/>
      <c r="BE241" s="36"/>
      <c r="BF241" s="36"/>
      <c r="BG241" s="36"/>
      <c r="BH241" s="36"/>
      <c r="BI241" s="21"/>
      <c r="BJ241" s="21"/>
      <c r="BK241" s="21"/>
      <c r="BL241" s="21"/>
      <c r="BM241" s="21"/>
      <c r="BN241" s="21"/>
      <c r="BO241" s="21"/>
      <c r="BP241" s="21"/>
      <c r="BQ241" s="21"/>
      <c r="BR241" s="21"/>
      <c r="BS241" s="21"/>
      <c r="BT241" s="21"/>
      <c r="BU241" s="21"/>
      <c r="BV241" s="21"/>
    </row>
    <row r="242" spans="1:74" customFormat="1" ht="12.75" customHeight="1">
      <c r="A242" s="32"/>
      <c r="B242" s="37"/>
      <c r="C242" s="94"/>
      <c r="D242" s="4"/>
      <c r="E242" s="4"/>
      <c r="F242" s="4"/>
      <c r="G242" s="4"/>
      <c r="H242" s="4"/>
      <c r="I242" s="4"/>
      <c r="J242" s="26"/>
      <c r="K242" s="26"/>
      <c r="L242" s="83"/>
      <c r="M242" s="83"/>
      <c r="N242" s="83"/>
      <c r="O242" s="83"/>
      <c r="P242" s="83"/>
      <c r="Q242" s="83"/>
      <c r="R242" s="83"/>
      <c r="S242" s="83"/>
      <c r="T242" s="83"/>
      <c r="U242" s="83"/>
      <c r="V242" s="19"/>
      <c r="W242" s="19"/>
      <c r="X242" s="19"/>
      <c r="Y242" s="19"/>
      <c r="Z242" s="95"/>
      <c r="AA242" s="95"/>
      <c r="AB242" s="95"/>
      <c r="AC242" s="4"/>
      <c r="AD242" s="37"/>
      <c r="AE242" s="4"/>
      <c r="AF242" s="4"/>
      <c r="AG242" s="4"/>
      <c r="AH242" s="4"/>
      <c r="AI242" s="4"/>
      <c r="AJ242" s="4"/>
      <c r="AK242" s="4"/>
      <c r="AL242" s="4"/>
      <c r="AM242" s="4"/>
      <c r="AN242" s="583"/>
      <c r="AO242" s="34"/>
      <c r="AP242" s="21"/>
      <c r="AQ242" s="21"/>
      <c r="AR242" s="21"/>
      <c r="AS242" s="21"/>
      <c r="AT242" s="21"/>
      <c r="AU242" s="21"/>
      <c r="AV242" s="21"/>
      <c r="AW242" s="21"/>
      <c r="AX242" s="21"/>
      <c r="AY242" s="21"/>
      <c r="AZ242" s="21"/>
      <c r="BA242" s="21"/>
      <c r="BB242" s="21"/>
      <c r="BC242" s="21"/>
      <c r="BD242" s="36"/>
      <c r="BE242" s="36"/>
      <c r="BF242" s="36"/>
      <c r="BG242" s="36"/>
      <c r="BH242" s="36"/>
      <c r="BI242" s="21"/>
      <c r="BJ242" s="21"/>
      <c r="BK242" s="21"/>
      <c r="BL242" s="21"/>
      <c r="BM242" s="21"/>
      <c r="BN242" s="21"/>
      <c r="BO242" s="21"/>
      <c r="BP242" s="21"/>
      <c r="BQ242" s="21"/>
      <c r="BR242" s="21"/>
      <c r="BS242" s="21"/>
      <c r="BT242" s="21"/>
      <c r="BU242" s="21"/>
      <c r="BV242" s="21"/>
    </row>
    <row r="243" spans="1:74" customFormat="1">
      <c r="A243" s="4"/>
      <c r="B243" s="4"/>
      <c r="C243" s="3" t="s">
        <v>1976</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8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4"/>
      <c r="B244" s="266"/>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266"/>
      <c r="AE244" s="19"/>
      <c r="AF244" s="19"/>
      <c r="AG244" s="19"/>
      <c r="AH244" s="19"/>
      <c r="AI244" s="4"/>
      <c r="AJ244" s="4"/>
      <c r="AK244" s="4"/>
      <c r="AL244" s="4"/>
      <c r="AM244" s="4"/>
      <c r="AN244" s="58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c r="A245" s="4"/>
      <c r="B245" s="4"/>
      <c r="C245" s="38"/>
      <c r="D245" s="25" t="s">
        <v>18</v>
      </c>
      <c r="E245" s="1582" t="s">
        <v>1977</v>
      </c>
      <c r="F245" s="1582"/>
      <c r="G245" s="1582"/>
      <c r="H245" s="1582"/>
      <c r="I245" s="1582"/>
      <c r="J245" s="1582"/>
      <c r="K245" s="1582"/>
      <c r="L245" s="1582"/>
      <c r="M245" s="1582"/>
      <c r="N245" s="1582"/>
      <c r="O245" s="1582"/>
      <c r="P245" s="1582"/>
      <c r="Q245" s="1582"/>
      <c r="R245" s="1582"/>
      <c r="S245" s="1582"/>
      <c r="T245" s="1582"/>
      <c r="U245" s="1582"/>
      <c r="V245" s="1582"/>
      <c r="W245" s="1582"/>
      <c r="X245" s="1582"/>
      <c r="Y245" s="1582"/>
      <c r="Z245" s="1582"/>
      <c r="AA245" s="1582"/>
      <c r="AB245" s="1582"/>
      <c r="AC245" s="4"/>
      <c r="AD245" s="4"/>
      <c r="AF245" s="1593" t="s">
        <v>1928</v>
      </c>
      <c r="AG245" s="1593"/>
      <c r="AH245" s="1593"/>
      <c r="AI245" s="1593"/>
      <c r="AJ245" s="1593"/>
      <c r="AK245" s="1593"/>
      <c r="AL245" s="1593"/>
      <c r="AM245" s="4"/>
      <c r="AN245" s="58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37"/>
      <c r="C246" s="94"/>
      <c r="D246" s="25"/>
      <c r="E246" s="1582"/>
      <c r="F246" s="1582"/>
      <c r="G246" s="1582"/>
      <c r="H246" s="1582"/>
      <c r="I246" s="1582"/>
      <c r="J246" s="1582"/>
      <c r="K246" s="1582"/>
      <c r="L246" s="1582"/>
      <c r="M246" s="1582"/>
      <c r="N246" s="1582"/>
      <c r="O246" s="1582"/>
      <c r="P246" s="1582"/>
      <c r="Q246" s="1582"/>
      <c r="R246" s="1582"/>
      <c r="S246" s="1582"/>
      <c r="T246" s="1582"/>
      <c r="U246" s="1582"/>
      <c r="V246" s="1582"/>
      <c r="W246" s="1582"/>
      <c r="X246" s="1582"/>
      <c r="Y246" s="1582"/>
      <c r="Z246" s="1582"/>
      <c r="AA246" s="1582"/>
      <c r="AB246" s="1582"/>
      <c r="AC246" s="4"/>
      <c r="AD246" s="4"/>
      <c r="AL246" s="4"/>
      <c r="AM246" s="4"/>
      <c r="AN246" s="583"/>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100"/>
      <c r="D247" s="25"/>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266"/>
      <c r="AG247" s="19"/>
      <c r="AH247" s="19"/>
      <c r="AI247" s="19"/>
      <c r="AJ247" s="19"/>
      <c r="AK247" s="4"/>
      <c r="AL247" s="4"/>
      <c r="AM247" s="4"/>
      <c r="AN247" s="583"/>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32"/>
      <c r="B248" s="37"/>
      <c r="C248" s="38"/>
      <c r="D248" s="25" t="s">
        <v>23</v>
      </c>
      <c r="E248" s="1582" t="s">
        <v>1978</v>
      </c>
      <c r="F248" s="1582"/>
      <c r="G248" s="1582"/>
      <c r="H248" s="1582"/>
      <c r="I248" s="1582"/>
      <c r="J248" s="1582"/>
      <c r="K248" s="1582"/>
      <c r="L248" s="1582"/>
      <c r="M248" s="1582"/>
      <c r="N248" s="1582"/>
      <c r="O248" s="1582"/>
      <c r="P248" s="1582"/>
      <c r="Q248" s="1582"/>
      <c r="R248" s="1582"/>
      <c r="S248" s="1582"/>
      <c r="T248" s="1582"/>
      <c r="U248" s="1582"/>
      <c r="V248" s="1582"/>
      <c r="W248" s="1582"/>
      <c r="X248" s="1582"/>
      <c r="Y248" s="1582"/>
      <c r="Z248" s="1582"/>
      <c r="AA248" s="1582"/>
      <c r="AB248" s="1582"/>
      <c r="AC248" s="4"/>
      <c r="AD248" s="4"/>
      <c r="AF248" s="1593" t="s">
        <v>1947</v>
      </c>
      <c r="AG248" s="1593"/>
      <c r="AH248" s="1593"/>
      <c r="AI248" s="1593"/>
      <c r="AJ248" s="1593"/>
      <c r="AK248" s="1593"/>
      <c r="AL248" s="1593"/>
      <c r="AM248" s="4"/>
      <c r="AN248" s="583"/>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ht="12.75" customHeight="1">
      <c r="A249" s="32"/>
      <c r="B249" s="37"/>
      <c r="C249" s="38"/>
      <c r="D249" s="25"/>
      <c r="E249" s="1582"/>
      <c r="F249" s="1582"/>
      <c r="G249" s="1582"/>
      <c r="H249" s="1582"/>
      <c r="I249" s="1582"/>
      <c r="J249" s="1582"/>
      <c r="K249" s="1582"/>
      <c r="L249" s="1582"/>
      <c r="M249" s="1582"/>
      <c r="N249" s="1582"/>
      <c r="O249" s="1582"/>
      <c r="P249" s="1582"/>
      <c r="Q249" s="1582"/>
      <c r="R249" s="1582"/>
      <c r="S249" s="1582"/>
      <c r="T249" s="1582"/>
      <c r="U249" s="1582"/>
      <c r="V249" s="1582"/>
      <c r="W249" s="1582"/>
      <c r="X249" s="1582"/>
      <c r="Y249" s="1582"/>
      <c r="Z249" s="1582"/>
      <c r="AA249" s="1582"/>
      <c r="AB249" s="1582"/>
      <c r="AC249" s="4"/>
      <c r="AD249" s="4"/>
      <c r="AE249" s="88"/>
      <c r="AM249" s="4"/>
      <c r="AN249" s="58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37"/>
      <c r="C250" s="94"/>
      <c r="D250" s="4"/>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4"/>
      <c r="AD250" s="37"/>
      <c r="AE250" s="19"/>
      <c r="AF250" s="19"/>
      <c r="AG250" s="19"/>
      <c r="AH250" s="19"/>
      <c r="AI250" s="4"/>
      <c r="AJ250" s="4"/>
      <c r="AK250" s="4"/>
      <c r="AL250" s="4"/>
      <c r="AM250" s="4"/>
      <c r="AN250" s="58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2.75" customHeight="1">
      <c r="A251" s="4"/>
      <c r="B251" s="37"/>
      <c r="C251" s="4"/>
      <c r="D251" s="4" t="s">
        <v>1914</v>
      </c>
      <c r="E251" s="95"/>
      <c r="F251" s="95"/>
      <c r="G251" s="95"/>
      <c r="H251" s="1581" t="s">
        <v>18</v>
      </c>
      <c r="I251" s="1581"/>
      <c r="J251" s="83"/>
      <c r="K251" s="83"/>
      <c r="L251" s="83"/>
      <c r="M251" s="83"/>
      <c r="N251" s="83"/>
      <c r="O251" s="83"/>
      <c r="P251" s="83"/>
      <c r="Q251" s="4"/>
      <c r="R251" s="4"/>
      <c r="S251" s="4"/>
      <c r="T251" s="4"/>
      <c r="U251" s="4"/>
      <c r="V251" s="4"/>
      <c r="W251" s="83"/>
      <c r="X251" s="83"/>
      <c r="Y251" s="83"/>
      <c r="Z251" s="83"/>
      <c r="AA251" s="83"/>
      <c r="AB251" s="83"/>
      <c r="AC251" s="4"/>
      <c r="AD251" s="37"/>
      <c r="AE251" s="19"/>
      <c r="AF251" s="19"/>
      <c r="AG251" s="19"/>
      <c r="AH251" s="19"/>
      <c r="AI251" s="4"/>
      <c r="AJ251" s="4"/>
      <c r="AK251" s="4"/>
      <c r="AL251" s="4"/>
      <c r="AM251" s="4"/>
      <c r="AN251" s="58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4"/>
      <c r="B252" s="266"/>
      <c r="C252" s="116"/>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266"/>
      <c r="AE252" s="19"/>
      <c r="AF252" s="19"/>
      <c r="AG252" s="19"/>
      <c r="AH252" s="19"/>
      <c r="AI252" s="4"/>
      <c r="AJ252" s="4"/>
      <c r="AK252" s="4"/>
      <c r="AL252" s="4"/>
      <c r="AM252" s="4"/>
      <c r="AN252" s="58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ht="14.1" customHeight="1">
      <c r="A253" s="76"/>
      <c r="B253" s="912"/>
      <c r="C253" s="117"/>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912"/>
      <c r="AD253" s="104"/>
      <c r="AE253" s="104"/>
      <c r="AF253" s="104"/>
      <c r="AG253" s="104"/>
      <c r="AH253" s="77"/>
      <c r="AI253" s="53" t="s">
        <v>1979</v>
      </c>
      <c r="AJ253" s="1192">
        <f>VLOOKUP($H$251,$AO$191:$AP$193,2,FALSE)</f>
        <v>2</v>
      </c>
      <c r="AK253" s="1195"/>
      <c r="AL253" s="414"/>
      <c r="AM253" s="4"/>
      <c r="AN253" s="58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c r="A254" s="4"/>
      <c r="B254" s="266"/>
      <c r="C254" s="116"/>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266"/>
      <c r="AD254" s="19"/>
      <c r="AE254" s="19"/>
      <c r="AF254" s="19"/>
      <c r="AG254" s="19"/>
      <c r="AH254" s="4"/>
      <c r="AI254" s="55"/>
      <c r="AJ254" s="414"/>
      <c r="AK254" s="414"/>
      <c r="AL254" s="414"/>
      <c r="AM254" s="4"/>
      <c r="AN254" s="58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266"/>
      <c r="C255" s="3" t="s">
        <v>1980</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266"/>
      <c r="AD255" s="19"/>
      <c r="AE255" s="19"/>
      <c r="AF255" s="19"/>
      <c r="AG255" s="19"/>
      <c r="AH255" s="4"/>
      <c r="AI255" s="55"/>
      <c r="AJ255" s="414"/>
      <c r="AK255" s="414"/>
      <c r="AL255" s="414"/>
      <c r="AM255" s="4"/>
      <c r="AN255" s="58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c r="A256" s="4"/>
      <c r="B256" s="266"/>
      <c r="C256" s="116"/>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266"/>
      <c r="AD256" s="19"/>
      <c r="AE256" s="19"/>
      <c r="AF256" s="19"/>
      <c r="AG256" s="19"/>
      <c r="AH256" s="4"/>
      <c r="AI256" s="55"/>
      <c r="AJ256" s="414"/>
      <c r="AK256" s="414"/>
      <c r="AL256" s="414"/>
      <c r="AM256" s="4"/>
      <c r="AN256" s="175"/>
    </row>
    <row r="257" spans="1:82" customFormat="1" ht="14.1" customHeight="1">
      <c r="A257" s="4"/>
      <c r="B257" s="266"/>
      <c r="C257" s="116"/>
      <c r="D257" s="25" t="s">
        <v>18</v>
      </c>
      <c r="E257" s="1582" t="s">
        <v>1981</v>
      </c>
      <c r="F257" s="1582"/>
      <c r="G257" s="1582"/>
      <c r="H257" s="1582"/>
      <c r="I257" s="1582"/>
      <c r="J257" s="1582"/>
      <c r="K257" s="1582"/>
      <c r="L257" s="1582"/>
      <c r="M257" s="1582"/>
      <c r="N257" s="1582"/>
      <c r="O257" s="1582"/>
      <c r="P257" s="1582"/>
      <c r="Q257" s="1582"/>
      <c r="R257" s="1582"/>
      <c r="S257" s="1582"/>
      <c r="T257" s="1582"/>
      <c r="U257" s="1582"/>
      <c r="V257" s="1582"/>
      <c r="W257" s="1582"/>
      <c r="X257" s="1582"/>
      <c r="Y257" s="1582"/>
      <c r="Z257" s="1582"/>
      <c r="AA257" s="1582"/>
      <c r="AB257" s="1582"/>
      <c r="AC257" s="1582"/>
      <c r="AD257" s="1582"/>
      <c r="AF257" s="1593" t="s">
        <v>1928</v>
      </c>
      <c r="AG257" s="1593"/>
      <c r="AH257" s="1593"/>
      <c r="AI257" s="1593"/>
      <c r="AJ257" s="1593"/>
      <c r="AK257" s="1593"/>
      <c r="AL257" s="1593"/>
      <c r="AM257" s="84"/>
      <c r="AN257" s="175"/>
    </row>
    <row r="258" spans="1:82" customFormat="1">
      <c r="A258" s="4"/>
      <c r="B258" s="266"/>
      <c r="C258" s="116"/>
      <c r="D258" s="25"/>
      <c r="E258" s="1582"/>
      <c r="F258" s="1582"/>
      <c r="G258" s="1582"/>
      <c r="H258" s="1582"/>
      <c r="I258" s="1582"/>
      <c r="J258" s="1582"/>
      <c r="K258" s="1582"/>
      <c r="L258" s="1582"/>
      <c r="M258" s="1582"/>
      <c r="N258" s="1582"/>
      <c r="O258" s="1582"/>
      <c r="P258" s="1582"/>
      <c r="Q258" s="1582"/>
      <c r="R258" s="1582"/>
      <c r="S258" s="1582"/>
      <c r="T258" s="1582"/>
      <c r="U258" s="1582"/>
      <c r="V258" s="1582"/>
      <c r="W258" s="1582"/>
      <c r="X258" s="1582"/>
      <c r="Y258" s="1582"/>
      <c r="Z258" s="1582"/>
      <c r="AA258" s="1582"/>
      <c r="AB258" s="1582"/>
      <c r="AC258" s="1582"/>
      <c r="AD258" s="1582"/>
      <c r="AL258" s="88"/>
      <c r="AM258" s="84"/>
      <c r="AN258" s="58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row>
    <row r="259" spans="1:82" customFormat="1" ht="18.600000000000001" customHeight="1">
      <c r="A259" s="4"/>
      <c r="B259" s="266"/>
      <c r="C259" s="116"/>
      <c r="D259" s="25"/>
      <c r="E259" s="1582"/>
      <c r="F259" s="1582"/>
      <c r="G259" s="1582"/>
      <c r="H259" s="1582"/>
      <c r="I259" s="1582"/>
      <c r="J259" s="1582"/>
      <c r="K259" s="1582"/>
      <c r="L259" s="1582"/>
      <c r="M259" s="1582"/>
      <c r="N259" s="1582"/>
      <c r="O259" s="1582"/>
      <c r="P259" s="1582"/>
      <c r="Q259" s="1582"/>
      <c r="R259" s="1582"/>
      <c r="S259" s="1582"/>
      <c r="T259" s="1582"/>
      <c r="U259" s="1582"/>
      <c r="V259" s="1582"/>
      <c r="W259" s="1582"/>
      <c r="X259" s="1582"/>
      <c r="Y259" s="1582"/>
      <c r="Z259" s="1582"/>
      <c r="AA259" s="1582"/>
      <c r="AB259" s="1582"/>
      <c r="AC259" s="1582"/>
      <c r="AD259" s="1582"/>
      <c r="AE259" s="88"/>
      <c r="AF259" s="88"/>
      <c r="AG259" s="88"/>
      <c r="AH259" s="88"/>
      <c r="AI259" s="88"/>
      <c r="AJ259" s="88"/>
      <c r="AK259" s="88"/>
      <c r="AL259" s="88"/>
      <c r="AM259" s="84"/>
      <c r="AN259" s="583"/>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row>
    <row r="260" spans="1:82" s="4" customFormat="1" ht="12.75" customHeight="1">
      <c r="B260" s="266"/>
      <c r="C260" s="116"/>
      <c r="D260" s="25"/>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81"/>
      <c r="AE260" s="88"/>
      <c r="AM260" s="84"/>
      <c r="AN260" s="243"/>
    </row>
    <row r="261" spans="1:82" s="4" customFormat="1" ht="12.75" customHeight="1">
      <c r="B261" s="266"/>
      <c r="C261" s="116"/>
      <c r="D261" s="25" t="s">
        <v>23</v>
      </c>
      <c r="E261" s="1590" t="s">
        <v>1982</v>
      </c>
      <c r="F261" s="1590"/>
      <c r="G261" s="1590"/>
      <c r="H261" s="1590"/>
      <c r="I261" s="1590"/>
      <c r="J261" s="1590"/>
      <c r="K261" s="1590"/>
      <c r="L261" s="1590"/>
      <c r="M261" s="1590"/>
      <c r="N261" s="1590"/>
      <c r="O261" s="1590"/>
      <c r="P261" s="1590"/>
      <c r="Q261" s="1590"/>
      <c r="R261" s="1590"/>
      <c r="S261" s="1590"/>
      <c r="T261" s="1590"/>
      <c r="U261" s="1590"/>
      <c r="V261" s="1590"/>
      <c r="W261" s="1590"/>
      <c r="X261" s="1590"/>
      <c r="Y261" s="1590"/>
      <c r="Z261" s="1590"/>
      <c r="AA261" s="1590"/>
      <c r="AB261" s="1590"/>
      <c r="AC261" s="1590"/>
      <c r="AD261" s="1590"/>
      <c r="AF261" s="1593" t="s">
        <v>1867</v>
      </c>
      <c r="AG261" s="1593"/>
      <c r="AH261" s="1593"/>
      <c r="AI261" s="1593"/>
      <c r="AJ261" s="1593"/>
      <c r="AK261" s="1593"/>
      <c r="AL261" s="1593"/>
      <c r="AM261" s="84"/>
      <c r="AN261" s="243"/>
    </row>
    <row r="262" spans="1:82" s="4" customFormat="1" ht="12.75" customHeight="1">
      <c r="B262" s="266"/>
      <c r="C262" s="116"/>
      <c r="D262" s="25"/>
      <c r="E262" s="1590"/>
      <c r="F262" s="1590"/>
      <c r="G262" s="1590"/>
      <c r="H262" s="1590"/>
      <c r="I262" s="1590"/>
      <c r="J262" s="1590"/>
      <c r="K262" s="1590"/>
      <c r="L262" s="1590"/>
      <c r="M262" s="1590"/>
      <c r="N262" s="1590"/>
      <c r="O262" s="1590"/>
      <c r="P262" s="1590"/>
      <c r="Q262" s="1590"/>
      <c r="R262" s="1590"/>
      <c r="S262" s="1590"/>
      <c r="T262" s="1590"/>
      <c r="U262" s="1590"/>
      <c r="V262" s="1590"/>
      <c r="W262" s="1590"/>
      <c r="X262" s="1590"/>
      <c r="Y262" s="1590"/>
      <c r="Z262" s="1590"/>
      <c r="AA262" s="1590"/>
      <c r="AB262" s="1590"/>
      <c r="AC262" s="1590"/>
      <c r="AD262" s="1590"/>
      <c r="AE262" s="88"/>
      <c r="AF262" s="88"/>
      <c r="AG262" s="88"/>
      <c r="AH262" s="88"/>
      <c r="AI262" s="88"/>
      <c r="AJ262" s="88"/>
      <c r="AK262" s="88"/>
      <c r="AL262" s="88"/>
      <c r="AM262" s="84"/>
      <c r="AN262" s="243"/>
    </row>
    <row r="263" spans="1:82" s="4" customFormat="1" ht="12.75" customHeight="1">
      <c r="B263" s="266"/>
      <c r="C263" s="116"/>
      <c r="D263" s="25"/>
      <c r="E263" s="1590"/>
      <c r="F263" s="1590"/>
      <c r="G263" s="1590"/>
      <c r="H263" s="1590"/>
      <c r="I263" s="1590"/>
      <c r="J263" s="1590"/>
      <c r="K263" s="1590"/>
      <c r="L263" s="1590"/>
      <c r="M263" s="1590"/>
      <c r="N263" s="1590"/>
      <c r="O263" s="1590"/>
      <c r="P263" s="1590"/>
      <c r="Q263" s="1590"/>
      <c r="R263" s="1590"/>
      <c r="S263" s="1590"/>
      <c r="T263" s="1590"/>
      <c r="U263" s="1590"/>
      <c r="V263" s="1590"/>
      <c r="W263" s="1590"/>
      <c r="X263" s="1590"/>
      <c r="Y263" s="1590"/>
      <c r="Z263" s="1590"/>
      <c r="AA263" s="1590"/>
      <c r="AB263" s="1590"/>
      <c r="AC263" s="1590"/>
      <c r="AD263" s="1590"/>
      <c r="AE263" s="88"/>
      <c r="AF263" s="88"/>
      <c r="AG263" s="88"/>
      <c r="AH263" s="88"/>
      <c r="AI263" s="88"/>
      <c r="AJ263" s="88"/>
      <c r="AK263" s="88"/>
      <c r="AL263" s="88"/>
      <c r="AM263" s="84"/>
      <c r="AN263" s="243"/>
    </row>
    <row r="264" spans="1:82" s="4" customFormat="1" ht="12.75" customHeight="1">
      <c r="B264" s="266"/>
      <c r="C264" s="116"/>
      <c r="D264" s="25"/>
      <c r="E264" s="1590"/>
      <c r="F264" s="1590"/>
      <c r="G264" s="1590"/>
      <c r="H264" s="1590"/>
      <c r="I264" s="1590"/>
      <c r="J264" s="1590"/>
      <c r="K264" s="1590"/>
      <c r="L264" s="1590"/>
      <c r="M264" s="1590"/>
      <c r="N264" s="1590"/>
      <c r="O264" s="1590"/>
      <c r="P264" s="1590"/>
      <c r="Q264" s="1590"/>
      <c r="R264" s="1590"/>
      <c r="S264" s="1590"/>
      <c r="T264" s="1590"/>
      <c r="U264" s="1590"/>
      <c r="V264" s="1590"/>
      <c r="W264" s="1590"/>
      <c r="X264" s="1590"/>
      <c r="Y264" s="1590"/>
      <c r="Z264" s="1590"/>
      <c r="AA264" s="1590"/>
      <c r="AB264" s="1590"/>
      <c r="AC264" s="1590"/>
      <c r="AD264" s="1590"/>
      <c r="AE264" s="88"/>
      <c r="AF264" s="88"/>
      <c r="AG264" s="88"/>
      <c r="AH264" s="88"/>
      <c r="AI264" s="88"/>
      <c r="AJ264" s="88"/>
      <c r="AK264" s="88"/>
      <c r="AL264" s="88"/>
      <c r="AM264" s="84"/>
      <c r="AN264" s="243"/>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43"/>
    </row>
    <row r="266" spans="1:82" s="4" customFormat="1" ht="12.75" customHeight="1">
      <c r="B266" s="266"/>
      <c r="C266" s="116"/>
      <c r="D266" s="4" t="s">
        <v>1914</v>
      </c>
      <c r="E266" s="95"/>
      <c r="F266" s="95"/>
      <c r="G266" s="95"/>
      <c r="H266" s="1581" t="s">
        <v>18</v>
      </c>
      <c r="I266" s="1581"/>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19"/>
      <c r="AI266" s="55"/>
      <c r="AJ266" s="414"/>
      <c r="AK266" s="414"/>
      <c r="AL266" s="414"/>
      <c r="AN266" s="243"/>
    </row>
    <row r="267" spans="1:82" s="4" customFormat="1" ht="12.75" customHeight="1">
      <c r="B267" s="266"/>
      <c r="C267" s="116"/>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266"/>
      <c r="AD267" s="19"/>
      <c r="AE267" s="19"/>
      <c r="AF267" s="19"/>
      <c r="AG267" s="19"/>
      <c r="AI267" s="55"/>
      <c r="AJ267" s="414"/>
      <c r="AK267" s="414"/>
      <c r="AL267" s="414"/>
      <c r="AN267" s="243"/>
    </row>
    <row r="268" spans="1:82" s="4" customFormat="1" ht="12.75" customHeight="1">
      <c r="A268" s="76"/>
      <c r="B268" s="912"/>
      <c r="C268" s="117"/>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912"/>
      <c r="AD268" s="104"/>
      <c r="AE268" s="104"/>
      <c r="AF268" s="104"/>
      <c r="AG268" s="104"/>
      <c r="AH268" s="77"/>
      <c r="AI268" s="53" t="s">
        <v>1983</v>
      </c>
      <c r="AJ268" s="1192">
        <f>VLOOKUP($H$266,$AP$211:$AQ$213,2,FALSE)</f>
        <v>2</v>
      </c>
      <c r="AK268" s="1195"/>
      <c r="AL268" s="414"/>
      <c r="AN268" s="243"/>
    </row>
    <row r="269" spans="1:82" customFormat="1">
      <c r="A269" s="4"/>
      <c r="B269" s="266"/>
      <c r="C269" s="116"/>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266"/>
      <c r="AD269" s="19"/>
      <c r="AE269" s="19"/>
      <c r="AF269" s="19"/>
      <c r="AG269" s="19"/>
      <c r="AH269" s="4"/>
      <c r="AI269" s="55"/>
      <c r="AJ269" s="414"/>
      <c r="AK269" s="414"/>
      <c r="AL269" s="414"/>
      <c r="AM269" s="4"/>
      <c r="AN269" s="175"/>
      <c r="AS269" s="359"/>
      <c r="AT269" s="359"/>
      <c r="AU269" s="359"/>
      <c r="AV269" s="359"/>
      <c r="AW269" s="359"/>
      <c r="AX269" s="359"/>
      <c r="AY269" s="359"/>
      <c r="AZ269" s="359"/>
      <c r="BA269" s="359"/>
      <c r="BB269" s="359"/>
      <c r="BC269" s="359"/>
      <c r="BD269" s="559"/>
      <c r="BE269" s="559"/>
      <c r="BF269" s="559"/>
      <c r="BG269" s="559"/>
      <c r="BH269" s="559"/>
      <c r="BI269" s="359"/>
      <c r="BJ269" s="359"/>
      <c r="BK269" s="359"/>
      <c r="BL269" s="359"/>
      <c r="BM269" s="359"/>
      <c r="BN269" s="359"/>
      <c r="BO269" s="359"/>
      <c r="BP269" s="359"/>
      <c r="BQ269" s="359"/>
      <c r="BR269" s="359"/>
      <c r="BS269" s="359"/>
      <c r="BT269" s="359"/>
      <c r="BU269" s="359"/>
      <c r="BV269" s="359"/>
      <c r="BW269" s="359"/>
      <c r="BX269" s="359"/>
      <c r="BY269" s="359"/>
      <c r="BZ269" s="359"/>
      <c r="CA269" s="359"/>
      <c r="CB269" s="359"/>
      <c r="CC269" s="359"/>
      <c r="CD269" s="359"/>
    </row>
    <row r="270" spans="1:82" customFormat="1">
      <c r="A270" s="4"/>
      <c r="B270" s="266"/>
      <c r="C270" s="3" t="s">
        <v>1984</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H270" s="4"/>
      <c r="AI270" s="55"/>
      <c r="AJ270" s="414"/>
      <c r="AK270" s="414"/>
      <c r="AL270" s="414"/>
      <c r="AM270" s="4"/>
      <c r="AN270" s="175"/>
      <c r="AT270" s="359"/>
      <c r="AU270" s="359"/>
      <c r="AV270" s="359"/>
      <c r="AW270" s="359"/>
      <c r="AX270" s="359"/>
      <c r="AY270" s="359"/>
      <c r="AZ270" s="359"/>
    </row>
    <row r="271" spans="1:82" customFormat="1">
      <c r="A271" s="4"/>
      <c r="B271" s="266"/>
      <c r="C271" s="116"/>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266"/>
      <c r="AD271" s="19"/>
      <c r="AL271" s="414"/>
      <c r="AM271" s="4"/>
      <c r="AN271" s="175"/>
      <c r="AO271" s="4" t="s">
        <v>325</v>
      </c>
      <c r="AP271" s="106">
        <v>0</v>
      </c>
      <c r="AS271" s="359"/>
      <c r="AT271" s="359"/>
      <c r="AU271" s="359"/>
      <c r="AV271" s="359"/>
      <c r="AW271" s="359"/>
      <c r="AX271" s="359"/>
      <c r="AY271" s="359"/>
      <c r="AZ271" s="359"/>
      <c r="BA271" s="359"/>
      <c r="BB271" s="359"/>
      <c r="BC271" s="359"/>
      <c r="BD271" s="559"/>
      <c r="BE271" s="559"/>
      <c r="BF271" s="559"/>
      <c r="BG271" s="559"/>
      <c r="BH271" s="559"/>
      <c r="BI271" s="359"/>
      <c r="BJ271" s="359"/>
      <c r="BK271" s="359"/>
      <c r="BL271" s="359"/>
      <c r="BM271" s="359"/>
      <c r="BN271" s="359"/>
      <c r="BO271" s="359"/>
      <c r="BP271" s="359"/>
      <c r="BQ271" s="359"/>
      <c r="BR271" s="359"/>
      <c r="BS271" s="359"/>
      <c r="BT271" s="359"/>
      <c r="BU271" s="359"/>
      <c r="BV271" s="359"/>
      <c r="BW271" s="359"/>
      <c r="BX271" s="359"/>
      <c r="BY271" s="359"/>
      <c r="BZ271" s="359"/>
      <c r="CA271" s="359"/>
      <c r="CB271" s="359"/>
      <c r="CC271" s="359"/>
      <c r="CD271" s="359"/>
    </row>
    <row r="272" spans="1:82" customFormat="1" ht="14.1" customHeight="1">
      <c r="A272" s="4"/>
      <c r="B272" s="266"/>
      <c r="C272" s="116"/>
      <c r="D272" s="25" t="s">
        <v>18</v>
      </c>
      <c r="E272" s="1582" t="s">
        <v>1985</v>
      </c>
      <c r="F272" s="1582"/>
      <c r="G272" s="1582"/>
      <c r="H272" s="1582"/>
      <c r="I272" s="1582"/>
      <c r="J272" s="1582"/>
      <c r="K272" s="1582"/>
      <c r="L272" s="1582"/>
      <c r="M272" s="1582"/>
      <c r="N272" s="1582"/>
      <c r="O272" s="1582"/>
      <c r="P272" s="1582"/>
      <c r="Q272" s="1582"/>
      <c r="R272" s="1582"/>
      <c r="S272" s="1582"/>
      <c r="T272" s="1582"/>
      <c r="U272" s="1582"/>
      <c r="V272" s="1582"/>
      <c r="W272" s="1582"/>
      <c r="X272" s="1582"/>
      <c r="Y272" s="1582"/>
      <c r="Z272" s="1582"/>
      <c r="AA272" s="1582"/>
      <c r="AB272" s="1582"/>
      <c r="AC272" s="1582"/>
      <c r="AD272" s="1582"/>
      <c r="AF272" s="1593" t="s">
        <v>1986</v>
      </c>
      <c r="AG272" s="1593"/>
      <c r="AH272" s="1593"/>
      <c r="AI272" s="1593"/>
      <c r="AJ272" s="1593"/>
      <c r="AK272" s="1593"/>
      <c r="AL272" s="1593"/>
      <c r="AM272" s="84"/>
      <c r="AN272" s="175"/>
      <c r="AO272" s="25" t="s">
        <v>826</v>
      </c>
      <c r="AP272" s="4">
        <v>8</v>
      </c>
      <c r="AT272" s="359"/>
      <c r="AU272" s="359"/>
      <c r="AV272" s="359"/>
      <c r="AW272" s="359"/>
      <c r="AX272" s="359"/>
      <c r="AY272" s="359"/>
      <c r="AZ272" s="359"/>
    </row>
    <row r="273" spans="1:82" customFormat="1">
      <c r="A273" s="4"/>
      <c r="B273" s="266"/>
      <c r="C273" s="116"/>
      <c r="D273" s="25"/>
      <c r="E273" s="1582"/>
      <c r="F273" s="1582"/>
      <c r="G273" s="1582"/>
      <c r="H273" s="1582"/>
      <c r="I273" s="1582"/>
      <c r="J273" s="1582"/>
      <c r="K273" s="1582"/>
      <c r="L273" s="1582"/>
      <c r="M273" s="1582"/>
      <c r="N273" s="1582"/>
      <c r="O273" s="1582"/>
      <c r="P273" s="1582"/>
      <c r="Q273" s="1582"/>
      <c r="R273" s="1582"/>
      <c r="S273" s="1582"/>
      <c r="T273" s="1582"/>
      <c r="U273" s="1582"/>
      <c r="V273" s="1582"/>
      <c r="W273" s="1582"/>
      <c r="X273" s="1582"/>
      <c r="Y273" s="1582"/>
      <c r="Z273" s="1582"/>
      <c r="AA273" s="1582"/>
      <c r="AB273" s="1582"/>
      <c r="AC273" s="1582"/>
      <c r="AD273" s="1582"/>
      <c r="AE273" s="88"/>
      <c r="AF273" s="88"/>
      <c r="AG273" s="88"/>
      <c r="AH273" s="88"/>
      <c r="AI273" s="88"/>
      <c r="AJ273" s="88"/>
      <c r="AK273" s="88"/>
      <c r="AL273" s="88"/>
      <c r="AM273" s="84"/>
      <c r="AN273" s="175"/>
      <c r="AO273" s="25"/>
      <c r="AP273" s="4"/>
      <c r="AT273" s="359"/>
      <c r="AU273" s="359"/>
      <c r="AV273" s="359"/>
      <c r="AW273" s="359"/>
      <c r="AX273" s="359"/>
      <c r="AY273" s="359"/>
      <c r="AZ273" s="359"/>
    </row>
    <row r="274" spans="1:82" customFormat="1" ht="18.75" customHeight="1">
      <c r="A274" s="4"/>
      <c r="B274" s="266"/>
      <c r="C274" s="116"/>
      <c r="D274" s="25"/>
      <c r="E274" s="1582"/>
      <c r="F274" s="1582"/>
      <c r="G274" s="1582"/>
      <c r="H274" s="1582"/>
      <c r="I274" s="1582"/>
      <c r="J274" s="1582"/>
      <c r="K274" s="1582"/>
      <c r="L274" s="1582"/>
      <c r="M274" s="1582"/>
      <c r="N274" s="1582"/>
      <c r="O274" s="1582"/>
      <c r="P274" s="1582"/>
      <c r="Q274" s="1582"/>
      <c r="R274" s="1582"/>
      <c r="S274" s="1582"/>
      <c r="T274" s="1582"/>
      <c r="U274" s="1582"/>
      <c r="V274" s="1582"/>
      <c r="W274" s="1582"/>
      <c r="X274" s="1582"/>
      <c r="Y274" s="1582"/>
      <c r="Z274" s="1582"/>
      <c r="AA274" s="1582"/>
      <c r="AB274" s="1582"/>
      <c r="AC274" s="1582"/>
      <c r="AD274" s="1582"/>
      <c r="AE274" s="88"/>
      <c r="AF274" s="88"/>
      <c r="AG274" s="88"/>
      <c r="AH274" s="88"/>
      <c r="AI274" s="88"/>
      <c r="AJ274" s="88"/>
      <c r="AK274" s="88"/>
      <c r="AL274" s="88"/>
      <c r="AM274" s="84"/>
      <c r="AN274" s="175"/>
      <c r="AO274" s="170"/>
      <c r="AT274" s="359"/>
      <c r="AU274" s="359"/>
      <c r="AV274" s="359"/>
      <c r="AW274" s="359"/>
      <c r="AX274" s="359"/>
      <c r="AY274" s="359"/>
      <c r="AZ274" s="359"/>
    </row>
    <row r="275" spans="1:82" customFormat="1">
      <c r="A275" s="4"/>
      <c r="B275" s="266"/>
      <c r="C275" s="116"/>
      <c r="D275" s="25"/>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8"/>
      <c r="AF275" s="88"/>
      <c r="AG275" s="88"/>
      <c r="AH275" s="88"/>
      <c r="AI275" s="88"/>
      <c r="AJ275" s="88"/>
      <c r="AK275" s="88"/>
      <c r="AL275" s="88"/>
      <c r="AM275" s="84"/>
      <c r="AN275" s="175"/>
      <c r="AO275" s="170"/>
      <c r="AT275" s="359"/>
      <c r="AU275" s="359"/>
      <c r="AV275" s="359"/>
      <c r="AW275" s="359"/>
      <c r="AX275" s="359"/>
      <c r="AY275" s="359"/>
      <c r="AZ275" s="359"/>
    </row>
    <row r="276" spans="1:82" customFormat="1">
      <c r="A276" s="4"/>
      <c r="B276" s="266"/>
      <c r="C276" s="116"/>
      <c r="D276" s="4" t="s">
        <v>1914</v>
      </c>
      <c r="E276" s="95"/>
      <c r="F276" s="95"/>
      <c r="G276" s="95"/>
      <c r="H276" s="1581" t="s">
        <v>325</v>
      </c>
      <c r="I276" s="1581"/>
      <c r="J276" s="19"/>
      <c r="K276" s="19"/>
      <c r="L276" s="19"/>
      <c r="M276" s="19"/>
      <c r="N276" s="19"/>
      <c r="O276" s="19"/>
      <c r="P276" s="19"/>
      <c r="Q276" s="19"/>
      <c r="R276" s="19"/>
      <c r="S276" s="19"/>
      <c r="T276" s="19"/>
      <c r="U276" s="19"/>
      <c r="V276" s="19"/>
      <c r="W276" s="19"/>
      <c r="X276" s="19"/>
      <c r="Y276" s="19"/>
      <c r="Z276" s="19"/>
      <c r="AA276" s="19"/>
      <c r="AB276" s="19"/>
      <c r="AC276" s="266"/>
      <c r="AD276" s="19"/>
      <c r="AE276" s="19"/>
      <c r="AF276" s="19"/>
      <c r="AG276" s="19"/>
      <c r="AH276" s="4"/>
      <c r="AI276" s="55"/>
      <c r="AJ276" s="414"/>
      <c r="AK276" s="414"/>
      <c r="AL276" s="414"/>
      <c r="AM276" s="4"/>
      <c r="AN276" s="175"/>
      <c r="AS276" s="359"/>
      <c r="AT276" s="359"/>
      <c r="AU276" s="359"/>
      <c r="AV276" s="359"/>
      <c r="AW276" s="359"/>
      <c r="AX276" s="359"/>
      <c r="AY276" s="359"/>
      <c r="AZ276" s="359"/>
      <c r="BA276" s="359"/>
      <c r="BB276" s="359"/>
      <c r="BC276" s="359"/>
      <c r="BD276" s="559"/>
      <c r="BE276" s="559"/>
      <c r="BF276" s="559"/>
      <c r="BG276" s="559"/>
      <c r="BH276" s="5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row>
    <row r="277" spans="1:82" customFormat="1">
      <c r="A277" s="4"/>
      <c r="B277" s="266"/>
      <c r="C277" s="116"/>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266"/>
      <c r="AE277" s="19"/>
      <c r="AF277" s="19"/>
      <c r="AG277" s="19"/>
      <c r="AH277" s="19"/>
      <c r="AI277" s="4"/>
      <c r="AJ277" s="4"/>
      <c r="AK277" s="4"/>
      <c r="AL277" s="4"/>
      <c r="AM277" s="4"/>
      <c r="AN277" s="175"/>
      <c r="AT277" s="359"/>
      <c r="AU277" s="359"/>
      <c r="AV277" s="359"/>
      <c r="AW277" s="359"/>
      <c r="AX277" s="359"/>
      <c r="AY277" s="359"/>
      <c r="AZ277" s="359"/>
    </row>
    <row r="278" spans="1:82" customFormat="1">
      <c r="A278" s="76"/>
      <c r="B278" s="912"/>
      <c r="C278" s="117"/>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912"/>
      <c r="AD278" s="104"/>
      <c r="AE278" s="104"/>
      <c r="AF278" s="104"/>
      <c r="AG278" s="104"/>
      <c r="AH278" s="77"/>
      <c r="AI278" s="53" t="s">
        <v>1987</v>
      </c>
      <c r="AJ278" s="1192">
        <f>VLOOKUP($H$276,$AO$271:$AP$272,2,FALSE)</f>
        <v>0</v>
      </c>
      <c r="AK278" s="1195"/>
      <c r="AL278" s="414"/>
      <c r="AM278" s="4"/>
      <c r="AN278" s="175"/>
      <c r="AS278" s="359"/>
      <c r="AT278" s="359"/>
      <c r="AU278" s="359"/>
      <c r="AV278" s="359"/>
      <c r="AW278" s="359"/>
      <c r="AX278" s="359"/>
      <c r="AY278" s="359"/>
      <c r="AZ278" s="359"/>
      <c r="BA278" s="359"/>
      <c r="BB278" s="359"/>
      <c r="BC278" s="359"/>
      <c r="BD278" s="559"/>
      <c r="BE278" s="559"/>
      <c r="BF278" s="559"/>
      <c r="BG278" s="559"/>
      <c r="BH278" s="559"/>
      <c r="BI278" s="359"/>
      <c r="BJ278" s="359"/>
      <c r="BK278" s="359"/>
      <c r="BL278" s="359"/>
      <c r="BM278" s="359"/>
      <c r="BN278" s="359"/>
      <c r="BO278" s="359"/>
      <c r="BP278" s="359"/>
      <c r="BQ278" s="359"/>
      <c r="BR278" s="359"/>
      <c r="BS278" s="359"/>
      <c r="BT278" s="359"/>
      <c r="BU278" s="359"/>
      <c r="BV278" s="359"/>
      <c r="BW278" s="359"/>
      <c r="BX278" s="359"/>
      <c r="BY278" s="359"/>
      <c r="BZ278" s="359"/>
      <c r="CA278" s="359"/>
      <c r="CB278" s="359"/>
      <c r="CC278" s="359"/>
      <c r="CD278" s="359"/>
    </row>
    <row r="279" spans="1:82" s="4" customFormat="1" ht="12.75" customHeight="1">
      <c r="B279" s="266"/>
      <c r="C279" s="116"/>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266"/>
      <c r="AE279" s="19"/>
      <c r="AF279" s="19"/>
      <c r="AG279" s="19"/>
      <c r="AH279" s="19"/>
      <c r="AN279" s="243"/>
    </row>
    <row r="280" spans="1:82" s="4" customFormat="1" ht="12.75" customHeight="1">
      <c r="A280" s="76"/>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912"/>
      <c r="AD280" s="104"/>
      <c r="AE280" s="77"/>
      <c r="AF280" s="77"/>
      <c r="AG280" s="77"/>
      <c r="AH280" s="77"/>
      <c r="AI280" s="53"/>
      <c r="AJ280" s="53" t="s">
        <v>1988</v>
      </c>
      <c r="AK280" s="1192">
        <f>$AJ$124+$AJ$139+$AJ$151+$AJ$184+$AJ$203+$AJ$215+$AJ$227+$AJ$241+$AJ$253+$AJ$268+AJ278</f>
        <v>16</v>
      </c>
      <c r="AL280" s="1193"/>
      <c r="AM280" s="1195"/>
      <c r="AN280" s="243"/>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266"/>
      <c r="AD281" s="19"/>
      <c r="AI281" s="55"/>
      <c r="AJ281" s="414"/>
      <c r="AK281" s="414"/>
      <c r="AL281" s="414"/>
      <c r="AN281" s="243"/>
    </row>
    <row r="282" spans="1:82" s="4" customFormat="1" ht="12.75" customHeight="1" thickTop="1">
      <c r="A282" s="244"/>
      <c r="B282" s="245" t="s">
        <v>1989</v>
      </c>
      <c r="C282" s="246"/>
      <c r="D282" s="246"/>
      <c r="E282" s="246"/>
      <c r="F282" s="246"/>
      <c r="G282" s="246"/>
      <c r="H282" s="246"/>
      <c r="I282" s="246"/>
      <c r="J282" s="246"/>
      <c r="K282" s="246"/>
      <c r="L282" s="246"/>
      <c r="M282" s="246"/>
      <c r="N282" s="246"/>
      <c r="O282" s="246"/>
      <c r="P282" s="246"/>
      <c r="Q282" s="246"/>
      <c r="R282" s="246"/>
      <c r="S282" s="246"/>
      <c r="T282" s="246"/>
      <c r="U282" s="246"/>
      <c r="V282" s="246"/>
      <c r="W282" s="246"/>
      <c r="X282" s="246"/>
      <c r="Y282" s="246"/>
      <c r="Z282" s="246"/>
      <c r="AA282" s="246"/>
      <c r="AB282" s="246"/>
      <c r="AC282" s="913"/>
      <c r="AD282" s="246"/>
      <c r="AE282" s="244"/>
      <c r="AF282" s="244"/>
      <c r="AG282" s="244"/>
      <c r="AH282" s="244"/>
      <c r="AI282" s="247"/>
      <c r="AJ282" s="914"/>
      <c r="AK282" s="914"/>
      <c r="AL282" s="914"/>
      <c r="AM282" s="244"/>
      <c r="AN282" s="243"/>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6"/>
      <c r="AD283" s="19"/>
      <c r="AI283" s="55"/>
      <c r="AJ283" s="414"/>
      <c r="AK283" s="414"/>
      <c r="AL283" s="414"/>
      <c r="AN283" s="243"/>
    </row>
    <row r="284" spans="1:82" s="4" customFormat="1" ht="12.75" customHeight="1">
      <c r="B284" s="37" t="s">
        <v>1990</v>
      </c>
      <c r="C284" s="37"/>
      <c r="D284" s="37"/>
      <c r="E284" s="37"/>
      <c r="F284" s="37"/>
      <c r="G284"/>
      <c r="H284" s="1044" t="s">
        <v>1991</v>
      </c>
      <c r="I284" s="1044"/>
      <c r="J284" s="1044"/>
      <c r="K284" s="1044"/>
      <c r="L284" s="1044"/>
      <c r="M284" s="1044"/>
      <c r="N284" s="1044"/>
      <c r="O284" s="1044"/>
      <c r="P284" s="1044"/>
      <c r="Q284" s="1044"/>
      <c r="R284" s="1044"/>
      <c r="S284"/>
      <c r="T284" s="37" t="s">
        <v>1990</v>
      </c>
      <c r="U284"/>
      <c r="V284" s="37"/>
      <c r="W284" s="37"/>
      <c r="X284" s="37"/>
      <c r="Y284" s="37"/>
      <c r="Z284"/>
      <c r="AA284" s="1044" t="s">
        <v>1992</v>
      </c>
      <c r="AB284" s="1044"/>
      <c r="AC284" s="1044"/>
      <c r="AD284" s="1044"/>
      <c r="AE284" s="1044"/>
      <c r="AF284" s="1044"/>
      <c r="AG284" s="1044"/>
      <c r="AH284" s="1044"/>
      <c r="AI284" s="1044"/>
      <c r="AJ284" s="1044"/>
      <c r="AK284" s="1044"/>
      <c r="AL284" s="414"/>
      <c r="AN284" s="243"/>
    </row>
    <row r="285" spans="1:82" s="4" customFormat="1" ht="12.75" customHeight="1">
      <c r="B285" s="37" t="s">
        <v>1100</v>
      </c>
      <c r="C285" s="37"/>
      <c r="D285" s="37"/>
      <c r="E285" s="37"/>
      <c r="F285" s="37"/>
      <c r="G285"/>
      <c r="H285" s="1045" t="s">
        <v>1993</v>
      </c>
      <c r="I285" s="1045"/>
      <c r="J285" s="1045"/>
      <c r="K285" s="1045"/>
      <c r="L285" s="1045"/>
      <c r="M285" s="1045"/>
      <c r="N285" s="1045"/>
      <c r="O285" s="1045"/>
      <c r="P285" s="1045"/>
      <c r="Q285" s="1045"/>
      <c r="R285" s="1045"/>
      <c r="S285"/>
      <c r="T285" s="37" t="s">
        <v>1100</v>
      </c>
      <c r="U285"/>
      <c r="V285" s="37"/>
      <c r="W285" s="37"/>
      <c r="X285" s="37"/>
      <c r="Y285" s="37"/>
      <c r="Z285"/>
      <c r="AA285" s="1045" t="s">
        <v>1994</v>
      </c>
      <c r="AB285" s="1045"/>
      <c r="AC285" s="1045"/>
      <c r="AD285" s="1045"/>
      <c r="AE285" s="1045"/>
      <c r="AF285" s="1045"/>
      <c r="AG285" s="1045"/>
      <c r="AH285" s="1045"/>
      <c r="AI285" s="1045"/>
      <c r="AJ285" s="1045"/>
      <c r="AK285" s="1045"/>
      <c r="AL285" s="414"/>
      <c r="AN285" s="243"/>
    </row>
    <row r="286" spans="1:82" s="4" customFormat="1" ht="12.75" customHeight="1">
      <c r="B286" s="37" t="s">
        <v>1995</v>
      </c>
      <c r="C286" s="37"/>
      <c r="D286" s="37"/>
      <c r="E286" s="37"/>
      <c r="F286" s="37"/>
      <c r="G286"/>
      <c r="H286" s="1045" t="s">
        <v>1996</v>
      </c>
      <c r="I286" s="1045"/>
      <c r="J286" s="1045"/>
      <c r="K286" s="1045"/>
      <c r="L286" s="1045"/>
      <c r="M286" s="1045"/>
      <c r="N286" s="1045"/>
      <c r="O286" s="1045"/>
      <c r="P286" s="1045"/>
      <c r="Q286" s="1045"/>
      <c r="R286" s="1045"/>
      <c r="S286"/>
      <c r="T286" s="37" t="s">
        <v>1995</v>
      </c>
      <c r="U286"/>
      <c r="V286" s="37"/>
      <c r="W286" s="37"/>
      <c r="X286" s="37"/>
      <c r="Y286" s="37"/>
      <c r="Z286"/>
      <c r="AA286" s="1045" t="s">
        <v>1996</v>
      </c>
      <c r="AB286" s="1045"/>
      <c r="AC286" s="1045"/>
      <c r="AD286" s="1045"/>
      <c r="AE286" s="1045"/>
      <c r="AF286" s="1045"/>
      <c r="AG286" s="1045"/>
      <c r="AH286" s="1045"/>
      <c r="AI286" s="1045"/>
      <c r="AJ286" s="1045"/>
      <c r="AK286" s="1045"/>
      <c r="AL286" s="414"/>
      <c r="AN286" s="243"/>
      <c r="AO286" s="179"/>
    </row>
    <row r="287" spans="1:82" s="4" customFormat="1" ht="12.75" customHeight="1">
      <c r="B287" s="37" t="s">
        <v>1051</v>
      </c>
      <c r="C287" s="37"/>
      <c r="D287" s="37"/>
      <c r="E287" s="37"/>
      <c r="F287" s="37"/>
      <c r="G287"/>
      <c r="H287" s="1045"/>
      <c r="I287" s="1045"/>
      <c r="J287" s="1045"/>
      <c r="K287" s="1045"/>
      <c r="L287" s="1045"/>
      <c r="M287" s="1045"/>
      <c r="N287" s="1045"/>
      <c r="O287" s="1045"/>
      <c r="P287" s="1045"/>
      <c r="Q287" s="1045"/>
      <c r="R287" s="1045"/>
      <c r="S287"/>
      <c r="T287" s="37" t="s">
        <v>1051</v>
      </c>
      <c r="U287"/>
      <c r="V287" s="37"/>
      <c r="W287" s="37"/>
      <c r="X287" s="37"/>
      <c r="Y287" s="37"/>
      <c r="Z287"/>
      <c r="AA287" s="1045"/>
      <c r="AB287" s="1045"/>
      <c r="AC287" s="1045"/>
      <c r="AD287" s="1045"/>
      <c r="AE287" s="1045"/>
      <c r="AF287" s="1045"/>
      <c r="AG287" s="1045"/>
      <c r="AH287" s="1045"/>
      <c r="AI287" s="1045"/>
      <c r="AJ287" s="1045"/>
      <c r="AK287" s="1045"/>
      <c r="AL287" s="414"/>
      <c r="AN287" s="243"/>
      <c r="AO287" s="179"/>
    </row>
    <row r="288" spans="1:82" s="4" customFormat="1" ht="12.75" customHeight="1">
      <c r="B288" s="37" t="s">
        <v>1052</v>
      </c>
      <c r="C288" s="37"/>
      <c r="D288" s="37"/>
      <c r="E288" s="37"/>
      <c r="F288" s="37"/>
      <c r="G288" s="37"/>
      <c r="H288" s="1067" t="s">
        <v>1997</v>
      </c>
      <c r="I288" s="1067"/>
      <c r="J288" s="1067"/>
      <c r="K288" s="1067"/>
      <c r="L288" s="1067"/>
      <c r="M288" s="1067"/>
      <c r="N288" s="37" t="s">
        <v>1054</v>
      </c>
      <c r="O288" s="37"/>
      <c r="P288" s="1070"/>
      <c r="Q288" s="1070"/>
      <c r="R288" s="1070"/>
      <c r="S288" s="37"/>
      <c r="T288" s="37" t="s">
        <v>1052</v>
      </c>
      <c r="U288"/>
      <c r="V288" s="37"/>
      <c r="W288" s="37"/>
      <c r="X288" s="37"/>
      <c r="Y288" s="37"/>
      <c r="Z288"/>
      <c r="AA288" s="1067" t="s">
        <v>1998</v>
      </c>
      <c r="AB288" s="1067"/>
      <c r="AC288" s="1067"/>
      <c r="AD288" s="1067"/>
      <c r="AE288" s="1067"/>
      <c r="AF288" s="1067"/>
      <c r="AG288" s="37" t="s">
        <v>1054</v>
      </c>
      <c r="AH288" s="37"/>
      <c r="AI288" s="1070"/>
      <c r="AJ288" s="1070"/>
      <c r="AK288" s="1070"/>
      <c r="AL288" s="414"/>
      <c r="AN288" s="243"/>
      <c r="AO288" s="179"/>
    </row>
    <row r="289" spans="1:41" s="4" customFormat="1" ht="12.75" customHeight="1">
      <c r="B289" s="37" t="s">
        <v>1999</v>
      </c>
      <c r="C289" s="37"/>
      <c r="D289" s="37"/>
      <c r="E289" s="37"/>
      <c r="F289" s="37"/>
      <c r="G289" s="37"/>
      <c r="H289" s="1045" t="s">
        <v>1956</v>
      </c>
      <c r="I289" s="1045"/>
      <c r="J289" s="1045"/>
      <c r="K289" s="1045"/>
      <c r="L289" s="1045"/>
      <c r="M289" s="1045"/>
      <c r="N289" s="1045"/>
      <c r="O289" s="1045"/>
      <c r="P289" s="1045"/>
      <c r="Q289" s="1045"/>
      <c r="R289" s="1045"/>
      <c r="S289" s="37"/>
      <c r="T289" s="37" t="s">
        <v>1999</v>
      </c>
      <c r="U289"/>
      <c r="V289" s="37"/>
      <c r="W289" s="37"/>
      <c r="X289" s="37"/>
      <c r="Y289" s="37"/>
      <c r="Z289"/>
      <c r="AA289" s="1045" t="s">
        <v>1957</v>
      </c>
      <c r="AB289" s="1045"/>
      <c r="AC289" s="1045"/>
      <c r="AD289" s="1045"/>
      <c r="AE289" s="1045"/>
      <c r="AF289" s="1045"/>
      <c r="AG289" s="1045"/>
      <c r="AH289" s="1045"/>
      <c r="AI289" s="1045"/>
      <c r="AJ289" s="1045"/>
      <c r="AK289" s="1045"/>
      <c r="AL289" s="414"/>
      <c r="AN289" s="243"/>
      <c r="AO289" s="179"/>
    </row>
    <row r="290" spans="1:41" s="4" customFormat="1" ht="12.75" customHeight="1">
      <c r="B290" s="37" t="s">
        <v>2000</v>
      </c>
      <c r="C290" s="37"/>
      <c r="D290" s="37"/>
      <c r="E290" s="37"/>
      <c r="F290" s="37"/>
      <c r="G290" s="37"/>
      <c r="H290" s="1045" t="s">
        <v>2001</v>
      </c>
      <c r="I290" s="1045"/>
      <c r="J290" s="1045"/>
      <c r="K290" s="1045"/>
      <c r="L290" s="1045"/>
      <c r="M290" s="1045"/>
      <c r="N290" s="1045"/>
      <c r="O290" s="1045"/>
      <c r="P290" s="1045"/>
      <c r="Q290" s="1045"/>
      <c r="R290" s="1045"/>
      <c r="S290" s="37"/>
      <c r="T290" s="37" t="s">
        <v>2000</v>
      </c>
      <c r="U290"/>
      <c r="V290" s="37"/>
      <c r="W290" s="37"/>
      <c r="X290" s="37"/>
      <c r="Y290" s="37"/>
      <c r="Z290"/>
      <c r="AA290" s="1045" t="s">
        <v>2002</v>
      </c>
      <c r="AB290" s="1045"/>
      <c r="AC290" s="1045"/>
      <c r="AD290" s="1045"/>
      <c r="AE290" s="1045"/>
      <c r="AF290" s="1045"/>
      <c r="AG290" s="1045"/>
      <c r="AH290" s="1045"/>
      <c r="AI290" s="1045"/>
      <c r="AJ290" s="1045"/>
      <c r="AK290" s="1045"/>
      <c r="AL290" s="414"/>
      <c r="AN290" s="243"/>
    </row>
    <row r="291" spans="1:41" s="4" customFormat="1" ht="12.75" customHeight="1">
      <c r="B291" s="37" t="s">
        <v>2003</v>
      </c>
      <c r="C291" s="37"/>
      <c r="D291" s="37"/>
      <c r="E291" s="37"/>
      <c r="F291" s="37"/>
      <c r="G291" s="37"/>
      <c r="H291" s="1619">
        <v>0.46</v>
      </c>
      <c r="I291" s="1619"/>
      <c r="J291" s="1619"/>
      <c r="K291" s="1619"/>
      <c r="L291" s="1619"/>
      <c r="M291" s="1619"/>
      <c r="N291" s="1619"/>
      <c r="O291" s="1619"/>
      <c r="P291" s="1619"/>
      <c r="Q291" s="1619"/>
      <c r="R291" s="1619"/>
      <c r="S291" s="37"/>
      <c r="T291" s="37" t="s">
        <v>2003</v>
      </c>
      <c r="U291" s="37"/>
      <c r="V291" s="37"/>
      <c r="W291" s="37"/>
      <c r="X291" s="37"/>
      <c r="Y291" s="37"/>
      <c r="Z291" s="12"/>
      <c r="AA291" s="1619">
        <v>0.36</v>
      </c>
      <c r="AB291" s="1619"/>
      <c r="AC291" s="1619"/>
      <c r="AD291" s="1619"/>
      <c r="AE291" s="1619"/>
      <c r="AF291" s="1619"/>
      <c r="AG291" s="1619"/>
      <c r="AH291" s="1619"/>
      <c r="AI291" s="1619"/>
      <c r="AJ291" s="1619"/>
      <c r="AK291" s="1619"/>
      <c r="AL291" s="414"/>
      <c r="AN291" s="243"/>
    </row>
    <row r="292" spans="1:41" s="4" customFormat="1" ht="12.75" customHeight="1">
      <c r="B292" s="37"/>
      <c r="C292" s="37"/>
      <c r="D292" s="37"/>
      <c r="E292" s="37"/>
      <c r="F292" s="37"/>
      <c r="G292" s="37"/>
      <c r="H292" s="235"/>
      <c r="I292" s="235"/>
      <c r="J292" s="235"/>
      <c r="K292" s="235"/>
      <c r="L292" s="235"/>
      <c r="M292" s="235"/>
      <c r="N292" s="235"/>
      <c r="O292" s="235"/>
      <c r="P292" s="236"/>
      <c r="Q292" s="236"/>
      <c r="R292" s="236"/>
      <c r="S292" s="37"/>
      <c r="T292" s="37"/>
      <c r="U292" s="37"/>
      <c r="V292" s="37"/>
      <c r="W292" s="37"/>
      <c r="X292" s="37"/>
      <c r="Y292" s="37"/>
      <c r="Z292" s="237"/>
      <c r="AA292" s="237"/>
      <c r="AB292" s="237"/>
      <c r="AC292" s="237"/>
      <c r="AD292" s="237"/>
      <c r="AE292" s="237"/>
      <c r="AF292" s="237"/>
      <c r="AG292" s="237"/>
      <c r="AH292" s="12"/>
      <c r="AI292" s="12"/>
      <c r="AJ292" s="12"/>
      <c r="AK292" s="37"/>
      <c r="AL292" s="414"/>
      <c r="AN292" s="243"/>
    </row>
    <row r="293" spans="1:41" s="4" customFormat="1" ht="12.75" customHeight="1">
      <c r="B293" s="37" t="s">
        <v>1990</v>
      </c>
      <c r="C293" s="37"/>
      <c r="D293" s="37"/>
      <c r="E293" s="37"/>
      <c r="F293" s="37"/>
      <c r="G293"/>
      <c r="H293" s="1044" t="s">
        <v>2004</v>
      </c>
      <c r="I293" s="1044"/>
      <c r="J293" s="1044"/>
      <c r="K293" s="1044"/>
      <c r="L293" s="1044"/>
      <c r="M293" s="1044"/>
      <c r="N293" s="1044"/>
      <c r="O293" s="1044"/>
      <c r="P293" s="1044"/>
      <c r="Q293" s="1044"/>
      <c r="R293" s="1044"/>
      <c r="S293"/>
      <c r="T293" s="37" t="s">
        <v>1990</v>
      </c>
      <c r="U293"/>
      <c r="V293" s="37"/>
      <c r="W293" s="37"/>
      <c r="X293" s="37"/>
      <c r="Y293" s="37"/>
      <c r="Z293"/>
      <c r="AA293" s="1044" t="s">
        <v>2005</v>
      </c>
      <c r="AB293" s="1044"/>
      <c r="AC293" s="1044"/>
      <c r="AD293" s="1044"/>
      <c r="AE293" s="1044"/>
      <c r="AF293" s="1044"/>
      <c r="AG293" s="1044"/>
      <c r="AH293" s="1044"/>
      <c r="AI293" s="1044"/>
      <c r="AJ293" s="1044"/>
      <c r="AK293" s="1044"/>
      <c r="AL293" s="414"/>
      <c r="AN293" s="243"/>
    </row>
    <row r="294" spans="1:41" s="20" customFormat="1" ht="12.75" customHeight="1">
      <c r="A294" s="4"/>
      <c r="B294" s="37" t="s">
        <v>1100</v>
      </c>
      <c r="C294" s="37"/>
      <c r="D294" s="37"/>
      <c r="E294" s="37"/>
      <c r="F294" s="37"/>
      <c r="G294"/>
      <c r="H294" s="1045" t="s">
        <v>2006</v>
      </c>
      <c r="I294" s="1045"/>
      <c r="J294" s="1045"/>
      <c r="K294" s="1045"/>
      <c r="L294" s="1045"/>
      <c r="M294" s="1045"/>
      <c r="N294" s="1045"/>
      <c r="O294" s="1045"/>
      <c r="P294" s="1045"/>
      <c r="Q294" s="1045"/>
      <c r="R294" s="1045"/>
      <c r="S294"/>
      <c r="T294" s="37" t="s">
        <v>1100</v>
      </c>
      <c r="U294"/>
      <c r="V294" s="37"/>
      <c r="W294" s="37"/>
      <c r="X294" s="37"/>
      <c r="Y294" s="37"/>
      <c r="Z294"/>
      <c r="AA294" s="1045" t="s">
        <v>2007</v>
      </c>
      <c r="AB294" s="1045"/>
      <c r="AC294" s="1045"/>
      <c r="AD294" s="1045"/>
      <c r="AE294" s="1045"/>
      <c r="AF294" s="1045"/>
      <c r="AG294" s="1045"/>
      <c r="AH294" s="1045"/>
      <c r="AI294" s="1045"/>
      <c r="AJ294" s="1045"/>
      <c r="AK294" s="1045"/>
      <c r="AL294" s="414"/>
      <c r="AM294" s="4"/>
      <c r="AN294" s="243"/>
      <c r="AO294" s="4"/>
    </row>
    <row r="295" spans="1:41" s="20" customFormat="1" ht="12.75" customHeight="1">
      <c r="A295" s="4"/>
      <c r="B295" s="37" t="s">
        <v>1995</v>
      </c>
      <c r="C295" s="37"/>
      <c r="D295" s="37"/>
      <c r="E295" s="37"/>
      <c r="F295" s="37"/>
      <c r="G295"/>
      <c r="H295" s="1045" t="s">
        <v>1996</v>
      </c>
      <c r="I295" s="1045"/>
      <c r="J295" s="1045"/>
      <c r="K295" s="1045"/>
      <c r="L295" s="1045"/>
      <c r="M295" s="1045"/>
      <c r="N295" s="1045"/>
      <c r="O295" s="1045"/>
      <c r="P295" s="1045"/>
      <c r="Q295" s="1045"/>
      <c r="R295" s="1045"/>
      <c r="S295"/>
      <c r="T295" s="37" t="s">
        <v>1995</v>
      </c>
      <c r="U295"/>
      <c r="V295" s="37"/>
      <c r="W295" s="37"/>
      <c r="X295" s="37"/>
      <c r="Y295" s="37"/>
      <c r="Z295"/>
      <c r="AA295" s="1045" t="s">
        <v>1996</v>
      </c>
      <c r="AB295" s="1045"/>
      <c r="AC295" s="1045"/>
      <c r="AD295" s="1045"/>
      <c r="AE295" s="1045"/>
      <c r="AF295" s="1045"/>
      <c r="AG295" s="1045"/>
      <c r="AH295" s="1045"/>
      <c r="AI295" s="1045"/>
      <c r="AJ295" s="1045"/>
      <c r="AK295" s="1045"/>
      <c r="AL295" s="414"/>
      <c r="AM295" s="4"/>
      <c r="AN295" s="243"/>
      <c r="AO295" s="4"/>
    </row>
    <row r="296" spans="1:41" s="4" customFormat="1" ht="12.75" customHeight="1">
      <c r="B296" s="37" t="s">
        <v>1051</v>
      </c>
      <c r="C296" s="37"/>
      <c r="D296" s="37"/>
      <c r="E296" s="37"/>
      <c r="F296" s="37"/>
      <c r="G296"/>
      <c r="H296" s="1045"/>
      <c r="I296" s="1045"/>
      <c r="J296" s="1045"/>
      <c r="K296" s="1045"/>
      <c r="L296" s="1045"/>
      <c r="M296" s="1045"/>
      <c r="N296" s="1045"/>
      <c r="O296" s="1045"/>
      <c r="P296" s="1045"/>
      <c r="Q296" s="1045"/>
      <c r="R296" s="1045"/>
      <c r="S296"/>
      <c r="T296" s="37" t="s">
        <v>1051</v>
      </c>
      <c r="U296"/>
      <c r="V296" s="37"/>
      <c r="W296" s="37"/>
      <c r="X296" s="37"/>
      <c r="Y296" s="37"/>
      <c r="Z296"/>
      <c r="AA296" s="1045"/>
      <c r="AB296" s="1045"/>
      <c r="AC296" s="1045"/>
      <c r="AD296" s="1045"/>
      <c r="AE296" s="1045"/>
      <c r="AF296" s="1045"/>
      <c r="AG296" s="1045"/>
      <c r="AH296" s="1045"/>
      <c r="AI296" s="1045"/>
      <c r="AJ296" s="1045"/>
      <c r="AK296" s="1045"/>
      <c r="AL296" s="414"/>
      <c r="AN296" s="243"/>
    </row>
    <row r="297" spans="1:41" s="4" customFormat="1" ht="12.75" customHeight="1">
      <c r="B297" s="37" t="s">
        <v>1052</v>
      </c>
      <c r="C297" s="37"/>
      <c r="D297" s="37"/>
      <c r="E297" s="37"/>
      <c r="F297" s="37"/>
      <c r="G297" s="37"/>
      <c r="H297" s="1067" t="s">
        <v>2008</v>
      </c>
      <c r="I297" s="1067"/>
      <c r="J297" s="1067"/>
      <c r="K297" s="1067"/>
      <c r="L297" s="1067"/>
      <c r="M297" s="1067"/>
      <c r="N297" s="37" t="s">
        <v>1054</v>
      </c>
      <c r="O297" s="37"/>
      <c r="P297" s="1070"/>
      <c r="Q297" s="1070"/>
      <c r="R297" s="1070"/>
      <c r="S297" s="37"/>
      <c r="T297" s="37" t="s">
        <v>1052</v>
      </c>
      <c r="U297"/>
      <c r="V297" s="37"/>
      <c r="W297" s="37"/>
      <c r="X297" s="37"/>
      <c r="Y297" s="37"/>
      <c r="Z297"/>
      <c r="AA297" s="1067" t="s">
        <v>2009</v>
      </c>
      <c r="AB297" s="1067"/>
      <c r="AC297" s="1067"/>
      <c r="AD297" s="1067"/>
      <c r="AE297" s="1067"/>
      <c r="AF297" s="1067"/>
      <c r="AG297" s="37" t="s">
        <v>1054</v>
      </c>
      <c r="AH297" s="37"/>
      <c r="AI297" s="1070"/>
      <c r="AJ297" s="1070"/>
      <c r="AK297" s="1070"/>
      <c r="AL297" s="414"/>
      <c r="AN297" s="243"/>
    </row>
    <row r="298" spans="1:41" s="4" customFormat="1" ht="12.75" customHeight="1">
      <c r="B298" s="37" t="s">
        <v>1999</v>
      </c>
      <c r="C298" s="37"/>
      <c r="D298" s="37"/>
      <c r="E298" s="37"/>
      <c r="F298" s="37"/>
      <c r="G298" s="37"/>
      <c r="H298" s="1045" t="s">
        <v>1954</v>
      </c>
      <c r="I298" s="1045"/>
      <c r="J298" s="1045"/>
      <c r="K298" s="1045"/>
      <c r="L298" s="1045"/>
      <c r="M298" s="1045"/>
      <c r="N298" s="1045"/>
      <c r="O298" s="1045"/>
      <c r="P298" s="1045"/>
      <c r="Q298" s="1045"/>
      <c r="R298" s="1045"/>
      <c r="S298" s="37"/>
      <c r="T298" s="37" t="s">
        <v>1999</v>
      </c>
      <c r="U298"/>
      <c r="V298" s="37"/>
      <c r="W298" s="37"/>
      <c r="X298" s="37"/>
      <c r="Y298" s="37"/>
      <c r="Z298"/>
      <c r="AA298" s="1045" t="s">
        <v>1964</v>
      </c>
      <c r="AB298" s="1045"/>
      <c r="AC298" s="1045"/>
      <c r="AD298" s="1045"/>
      <c r="AE298" s="1045"/>
      <c r="AF298" s="1045"/>
      <c r="AG298" s="1045"/>
      <c r="AH298" s="1045"/>
      <c r="AI298" s="1045"/>
      <c r="AJ298" s="1045"/>
      <c r="AK298" s="1045"/>
      <c r="AL298" s="414"/>
      <c r="AN298" s="243"/>
    </row>
    <row r="299" spans="1:41" s="4" customFormat="1" ht="12.75" customHeight="1">
      <c r="B299" s="37" t="s">
        <v>2000</v>
      </c>
      <c r="C299" s="37"/>
      <c r="D299" s="37"/>
      <c r="E299" s="37"/>
      <c r="F299" s="37"/>
      <c r="G299" s="37"/>
      <c r="H299" s="1045" t="s">
        <v>2010</v>
      </c>
      <c r="I299" s="1045"/>
      <c r="J299" s="1045"/>
      <c r="K299" s="1045"/>
      <c r="L299" s="1045"/>
      <c r="M299" s="1045"/>
      <c r="N299" s="1045"/>
      <c r="O299" s="1045"/>
      <c r="P299" s="1045"/>
      <c r="Q299" s="1045"/>
      <c r="R299" s="1045"/>
      <c r="S299" s="37"/>
      <c r="T299" s="37" t="s">
        <v>2000</v>
      </c>
      <c r="U299"/>
      <c r="V299" s="37"/>
      <c r="W299" s="37"/>
      <c r="X299" s="37"/>
      <c r="Y299" s="37"/>
      <c r="Z299"/>
      <c r="AA299" s="1045" t="s">
        <v>2011</v>
      </c>
      <c r="AB299" s="1045"/>
      <c r="AC299" s="1045"/>
      <c r="AD299" s="1045"/>
      <c r="AE299" s="1045"/>
      <c r="AF299" s="1045"/>
      <c r="AG299" s="1045"/>
      <c r="AH299" s="1045"/>
      <c r="AI299" s="1045"/>
      <c r="AJ299" s="1045"/>
      <c r="AK299" s="1045"/>
      <c r="AL299" s="414"/>
      <c r="AN299" s="243"/>
    </row>
    <row r="300" spans="1:41" s="4" customFormat="1" ht="12.75" customHeight="1">
      <c r="B300" s="37" t="s">
        <v>2003</v>
      </c>
      <c r="C300" s="37"/>
      <c r="D300" s="37"/>
      <c r="E300" s="37"/>
      <c r="F300" s="37"/>
      <c r="G300" s="37"/>
      <c r="H300" s="1619">
        <v>0.7</v>
      </c>
      <c r="I300" s="1619"/>
      <c r="J300" s="1619"/>
      <c r="K300" s="1619"/>
      <c r="L300" s="1619"/>
      <c r="M300" s="1619"/>
      <c r="N300" s="1619"/>
      <c r="O300" s="1619"/>
      <c r="P300" s="1619"/>
      <c r="Q300" s="1619"/>
      <c r="R300" s="1619"/>
      <c r="S300" s="37"/>
      <c r="T300" s="37" t="s">
        <v>2003</v>
      </c>
      <c r="U300" s="37"/>
      <c r="V300" s="37"/>
      <c r="W300" s="37"/>
      <c r="X300" s="37"/>
      <c r="Y300" s="37"/>
      <c r="Z300" s="12"/>
      <c r="AA300" s="1619">
        <v>0.1</v>
      </c>
      <c r="AB300" s="1619"/>
      <c r="AC300" s="1619"/>
      <c r="AD300" s="1619"/>
      <c r="AE300" s="1619"/>
      <c r="AF300" s="1619"/>
      <c r="AG300" s="1619"/>
      <c r="AH300" s="1619"/>
      <c r="AI300" s="1619"/>
      <c r="AJ300" s="1619"/>
      <c r="AK300" s="1619"/>
      <c r="AL300" s="414"/>
      <c r="AN300" s="243"/>
    </row>
    <row r="301" spans="1:41" s="4" customFormat="1" ht="12.75" customHeight="1">
      <c r="B301" s="37"/>
      <c r="C301" s="37"/>
      <c r="D301" s="37"/>
      <c r="E301" s="37"/>
      <c r="F301" s="37"/>
      <c r="G301" s="37"/>
      <c r="H301" s="235"/>
      <c r="I301" s="235"/>
      <c r="J301" s="235"/>
      <c r="K301" s="235"/>
      <c r="L301" s="235"/>
      <c r="M301" s="235"/>
      <c r="N301" s="235"/>
      <c r="O301" s="235"/>
      <c r="P301" s="236"/>
      <c r="Q301" s="236"/>
      <c r="R301" s="236"/>
      <c r="S301" s="37"/>
      <c r="T301" s="37"/>
      <c r="U301" s="37"/>
      <c r="V301" s="37"/>
      <c r="W301" s="37"/>
      <c r="X301" s="37"/>
      <c r="Y301" s="37"/>
      <c r="Z301" s="237"/>
      <c r="AA301" s="237"/>
      <c r="AB301" s="237"/>
      <c r="AC301" s="237"/>
      <c r="AD301" s="237"/>
      <c r="AE301" s="237"/>
      <c r="AF301" s="237"/>
      <c r="AG301" s="237"/>
      <c r="AH301" s="12"/>
      <c r="AI301" s="12"/>
      <c r="AJ301" s="12"/>
      <c r="AK301" s="37"/>
      <c r="AL301" s="414"/>
      <c r="AN301" s="243"/>
    </row>
    <row r="302" spans="1:41" s="4" customFormat="1" ht="12.75" customHeight="1">
      <c r="B302" s="37" t="s">
        <v>1990</v>
      </c>
      <c r="C302" s="37"/>
      <c r="D302" s="37"/>
      <c r="E302" s="37"/>
      <c r="F302" s="37"/>
      <c r="G302"/>
      <c r="H302" s="1044" t="s">
        <v>2012</v>
      </c>
      <c r="I302" s="1044"/>
      <c r="J302" s="1044"/>
      <c r="K302" s="1044"/>
      <c r="L302" s="1044"/>
      <c r="M302" s="1044"/>
      <c r="N302" s="1044"/>
      <c r="O302" s="1044"/>
      <c r="P302" s="1044"/>
      <c r="Q302" s="1044"/>
      <c r="R302" s="1044"/>
      <c r="S302"/>
      <c r="T302" s="37" t="s">
        <v>1990</v>
      </c>
      <c r="U302"/>
      <c r="V302" s="37"/>
      <c r="W302" s="37"/>
      <c r="X302" s="37"/>
      <c r="Y302" s="37"/>
      <c r="Z302"/>
      <c r="AA302" s="1044" t="s">
        <v>2013</v>
      </c>
      <c r="AB302" s="1044"/>
      <c r="AC302" s="1044"/>
      <c r="AD302" s="1044"/>
      <c r="AE302" s="1044"/>
      <c r="AF302" s="1044"/>
      <c r="AG302" s="1044"/>
      <c r="AH302" s="1044"/>
      <c r="AI302" s="1044"/>
      <c r="AJ302" s="1044"/>
      <c r="AK302" s="1044"/>
      <c r="AL302" s="414"/>
      <c r="AN302" s="243"/>
    </row>
    <row r="303" spans="1:41" s="4" customFormat="1" ht="12.75" customHeight="1">
      <c r="B303" s="37" t="s">
        <v>1100</v>
      </c>
      <c r="C303" s="37"/>
      <c r="D303" s="37"/>
      <c r="E303" s="37"/>
      <c r="F303" s="37"/>
      <c r="G303"/>
      <c r="H303" s="1045" t="s">
        <v>2014</v>
      </c>
      <c r="I303" s="1045"/>
      <c r="J303" s="1045"/>
      <c r="K303" s="1045"/>
      <c r="L303" s="1045"/>
      <c r="M303" s="1045"/>
      <c r="N303" s="1045"/>
      <c r="O303" s="1045"/>
      <c r="P303" s="1045"/>
      <c r="Q303" s="1045"/>
      <c r="R303" s="1045"/>
      <c r="S303"/>
      <c r="T303" s="37" t="s">
        <v>1100</v>
      </c>
      <c r="U303"/>
      <c r="V303" s="37"/>
      <c r="W303" s="37"/>
      <c r="X303" s="37"/>
      <c r="Y303" s="37"/>
      <c r="Z303"/>
      <c r="AA303" s="1045" t="s">
        <v>2015</v>
      </c>
      <c r="AB303" s="1045"/>
      <c r="AC303" s="1045"/>
      <c r="AD303" s="1045"/>
      <c r="AE303" s="1045"/>
      <c r="AF303" s="1045"/>
      <c r="AG303" s="1045"/>
      <c r="AH303" s="1045"/>
      <c r="AI303" s="1045"/>
      <c r="AJ303" s="1045"/>
      <c r="AK303" s="1045"/>
      <c r="AL303" s="414"/>
      <c r="AN303" s="243"/>
    </row>
    <row r="304" spans="1:41" s="4" customFormat="1" ht="12.75" customHeight="1">
      <c r="B304" s="37" t="s">
        <v>1995</v>
      </c>
      <c r="C304" s="37"/>
      <c r="D304" s="37"/>
      <c r="E304" s="37"/>
      <c r="F304" s="37"/>
      <c r="G304"/>
      <c r="H304" s="1045" t="s">
        <v>2016</v>
      </c>
      <c r="I304" s="1045"/>
      <c r="J304" s="1045"/>
      <c r="K304" s="1045"/>
      <c r="L304" s="1045"/>
      <c r="M304" s="1045"/>
      <c r="N304" s="1045"/>
      <c r="O304" s="1045"/>
      <c r="P304" s="1045"/>
      <c r="Q304" s="1045"/>
      <c r="R304" s="1045"/>
      <c r="S304"/>
      <c r="T304" s="37" t="s">
        <v>1995</v>
      </c>
      <c r="U304"/>
      <c r="V304" s="37"/>
      <c r="W304" s="37"/>
      <c r="X304" s="37"/>
      <c r="Y304" s="37"/>
      <c r="Z304"/>
      <c r="AA304" s="1045" t="s">
        <v>1996</v>
      </c>
      <c r="AB304" s="1045"/>
      <c r="AC304" s="1045"/>
      <c r="AD304" s="1045"/>
      <c r="AE304" s="1045"/>
      <c r="AF304" s="1045"/>
      <c r="AG304" s="1045"/>
      <c r="AH304" s="1045"/>
      <c r="AI304" s="1045"/>
      <c r="AJ304" s="1045"/>
      <c r="AK304" s="1045"/>
      <c r="AL304" s="414"/>
      <c r="AN304" s="243"/>
    </row>
    <row r="305" spans="2:40" s="4" customFormat="1" ht="12.75" customHeight="1">
      <c r="B305" s="37" t="s">
        <v>1051</v>
      </c>
      <c r="C305" s="37"/>
      <c r="D305" s="37"/>
      <c r="E305" s="37"/>
      <c r="F305" s="37"/>
      <c r="G305"/>
      <c r="H305" s="1045"/>
      <c r="I305" s="1045"/>
      <c r="J305" s="1045"/>
      <c r="K305" s="1045"/>
      <c r="L305" s="1045"/>
      <c r="M305" s="1045"/>
      <c r="N305" s="1045"/>
      <c r="O305" s="1045"/>
      <c r="P305" s="1045"/>
      <c r="Q305" s="1045"/>
      <c r="R305" s="1045"/>
      <c r="S305"/>
      <c r="T305" s="37" t="s">
        <v>1051</v>
      </c>
      <c r="U305"/>
      <c r="V305" s="37"/>
      <c r="W305" s="37"/>
      <c r="X305" s="37"/>
      <c r="Y305" s="37"/>
      <c r="Z305"/>
      <c r="AA305" s="1045"/>
      <c r="AB305" s="1045"/>
      <c r="AC305" s="1045"/>
      <c r="AD305" s="1045"/>
      <c r="AE305" s="1045"/>
      <c r="AF305" s="1045"/>
      <c r="AG305" s="1045"/>
      <c r="AH305" s="1045"/>
      <c r="AI305" s="1045"/>
      <c r="AJ305" s="1045"/>
      <c r="AK305" s="1045"/>
      <c r="AL305" s="414"/>
      <c r="AN305" s="243"/>
    </row>
    <row r="306" spans="2:40" s="4" customFormat="1" ht="12.75" customHeight="1">
      <c r="B306" s="37" t="s">
        <v>1052</v>
      </c>
      <c r="C306" s="37"/>
      <c r="D306" s="37"/>
      <c r="E306" s="37"/>
      <c r="F306" s="37"/>
      <c r="G306" s="37"/>
      <c r="H306" s="1067" t="s">
        <v>2017</v>
      </c>
      <c r="I306" s="1067"/>
      <c r="J306" s="1067"/>
      <c r="K306" s="1067"/>
      <c r="L306" s="1067"/>
      <c r="M306" s="1067"/>
      <c r="N306" s="37" t="s">
        <v>1054</v>
      </c>
      <c r="O306" s="37"/>
      <c r="P306" s="1070"/>
      <c r="Q306" s="1070"/>
      <c r="R306" s="1070"/>
      <c r="S306" s="37"/>
      <c r="T306" s="37" t="s">
        <v>1052</v>
      </c>
      <c r="U306"/>
      <c r="V306" s="37"/>
      <c r="W306" s="37"/>
      <c r="X306" s="37"/>
      <c r="Y306" s="37"/>
      <c r="Z306"/>
      <c r="AA306" s="1067" t="s">
        <v>2018</v>
      </c>
      <c r="AB306" s="1067"/>
      <c r="AC306" s="1067"/>
      <c r="AD306" s="1067"/>
      <c r="AE306" s="1067"/>
      <c r="AF306" s="1067"/>
      <c r="AG306" s="37" t="s">
        <v>1054</v>
      </c>
      <c r="AH306" s="37"/>
      <c r="AI306" s="1070"/>
      <c r="AJ306" s="1070"/>
      <c r="AK306" s="1070"/>
      <c r="AL306" s="414"/>
      <c r="AN306" s="243"/>
    </row>
    <row r="307" spans="2:40" s="4" customFormat="1" ht="12.75" customHeight="1">
      <c r="B307" s="37" t="s">
        <v>1999</v>
      </c>
      <c r="C307" s="37"/>
      <c r="D307" s="37"/>
      <c r="E307" s="37"/>
      <c r="F307" s="37"/>
      <c r="G307" s="37"/>
      <c r="H307" s="1045" t="s">
        <v>1963</v>
      </c>
      <c r="I307" s="1045"/>
      <c r="J307" s="1045"/>
      <c r="K307" s="1045"/>
      <c r="L307" s="1045"/>
      <c r="M307" s="1045"/>
      <c r="N307" s="1045"/>
      <c r="O307" s="1045"/>
      <c r="P307" s="1045"/>
      <c r="Q307" s="1045"/>
      <c r="R307" s="1045"/>
      <c r="S307" s="37"/>
      <c r="T307" s="37" t="s">
        <v>1999</v>
      </c>
      <c r="U307"/>
      <c r="V307" s="37"/>
      <c r="W307" s="37"/>
      <c r="X307" s="37"/>
      <c r="Y307" s="37"/>
      <c r="Z307"/>
      <c r="AA307" s="1045" t="s">
        <v>1959</v>
      </c>
      <c r="AB307" s="1045"/>
      <c r="AC307" s="1045"/>
      <c r="AD307" s="1045"/>
      <c r="AE307" s="1045"/>
      <c r="AF307" s="1045"/>
      <c r="AG307" s="1045"/>
      <c r="AH307" s="1045"/>
      <c r="AI307" s="1045"/>
      <c r="AJ307" s="1045"/>
      <c r="AK307" s="1045"/>
      <c r="AL307" s="414"/>
      <c r="AN307" s="243"/>
    </row>
    <row r="308" spans="2:40" s="4" customFormat="1" ht="12.75" customHeight="1">
      <c r="B308" s="37" t="s">
        <v>2000</v>
      </c>
      <c r="C308" s="37"/>
      <c r="D308" s="37"/>
      <c r="E308" s="37"/>
      <c r="F308" s="37"/>
      <c r="G308" s="37"/>
      <c r="H308" s="1045" t="s">
        <v>2019</v>
      </c>
      <c r="I308" s="1045"/>
      <c r="J308" s="1045"/>
      <c r="K308" s="1045"/>
      <c r="L308" s="1045"/>
      <c r="M308" s="1045"/>
      <c r="N308" s="1045"/>
      <c r="O308" s="1045"/>
      <c r="P308" s="1045"/>
      <c r="Q308" s="1045"/>
      <c r="R308" s="1045"/>
      <c r="S308" s="37"/>
      <c r="T308" s="37" t="s">
        <v>2000</v>
      </c>
      <c r="U308"/>
      <c r="V308" s="37"/>
      <c r="W308" s="37"/>
      <c r="X308" s="37"/>
      <c r="Y308" s="37"/>
      <c r="Z308"/>
      <c r="AA308" s="1045" t="s">
        <v>2020</v>
      </c>
      <c r="AB308" s="1045"/>
      <c r="AC308" s="1045"/>
      <c r="AD308" s="1045"/>
      <c r="AE308" s="1045"/>
      <c r="AF308" s="1045"/>
      <c r="AG308" s="1045"/>
      <c r="AH308" s="1045"/>
      <c r="AI308" s="1045"/>
      <c r="AJ308" s="1045"/>
      <c r="AK308" s="1045"/>
      <c r="AL308" s="414"/>
      <c r="AN308" s="243"/>
    </row>
    <row r="309" spans="2:40" s="4" customFormat="1" ht="12.75" customHeight="1">
      <c r="B309" s="37" t="s">
        <v>2003</v>
      </c>
      <c r="C309" s="37"/>
      <c r="D309" s="37"/>
      <c r="E309" s="37"/>
      <c r="F309" s="37"/>
      <c r="G309" s="37"/>
      <c r="H309" s="1619">
        <v>1.17</v>
      </c>
      <c r="I309" s="1619"/>
      <c r="J309" s="1619"/>
      <c r="K309" s="1619"/>
      <c r="L309" s="1619"/>
      <c r="M309" s="1619"/>
      <c r="N309" s="1619"/>
      <c r="O309" s="1619"/>
      <c r="P309" s="1619"/>
      <c r="Q309" s="1619"/>
      <c r="R309" s="1619"/>
      <c r="S309" s="37"/>
      <c r="T309" s="37" t="s">
        <v>2003</v>
      </c>
      <c r="U309" s="37"/>
      <c r="V309" s="37"/>
      <c r="W309" s="37"/>
      <c r="X309" s="37"/>
      <c r="Y309" s="37"/>
      <c r="Z309" s="12"/>
      <c r="AA309" s="1619">
        <v>0.35</v>
      </c>
      <c r="AB309" s="1619"/>
      <c r="AC309" s="1619"/>
      <c r="AD309" s="1619"/>
      <c r="AE309" s="1619"/>
      <c r="AF309" s="1619"/>
      <c r="AG309" s="1619"/>
      <c r="AH309" s="1619"/>
      <c r="AI309" s="1619"/>
      <c r="AJ309" s="1619"/>
      <c r="AK309" s="1619"/>
      <c r="AL309" s="414"/>
      <c r="AN309" s="243"/>
    </row>
    <row r="310" spans="2:40" s="4" customFormat="1" ht="12.75" customHeight="1">
      <c r="B310" s="37"/>
      <c r="C310" s="37"/>
      <c r="D310" s="37"/>
      <c r="E310" s="37"/>
      <c r="F310" s="37"/>
      <c r="G310" s="37"/>
      <c r="H310" s="235"/>
      <c r="I310" s="235"/>
      <c r="J310" s="235"/>
      <c r="K310" s="235"/>
      <c r="L310" s="235"/>
      <c r="M310" s="235"/>
      <c r="N310" s="235"/>
      <c r="O310" s="235"/>
      <c r="P310" s="236"/>
      <c r="Q310" s="236"/>
      <c r="R310" s="236"/>
      <c r="S310" s="37"/>
      <c r="T310" s="37"/>
      <c r="U310" s="37"/>
      <c r="V310" s="37"/>
      <c r="W310" s="37"/>
      <c r="X310" s="37"/>
      <c r="Y310" s="37"/>
      <c r="Z310" s="237"/>
      <c r="AA310" s="237"/>
      <c r="AB310" s="237"/>
      <c r="AC310" s="237"/>
      <c r="AD310" s="237"/>
      <c r="AE310" s="237"/>
      <c r="AF310" s="237"/>
      <c r="AG310" s="237"/>
      <c r="AH310" s="12"/>
      <c r="AI310" s="12"/>
      <c r="AJ310" s="12"/>
      <c r="AK310" s="37"/>
      <c r="AL310" s="414"/>
      <c r="AN310" s="243"/>
    </row>
    <row r="311" spans="2:40" s="4" customFormat="1" ht="12.75" customHeight="1">
      <c r="B311" s="37" t="s">
        <v>1990</v>
      </c>
      <c r="C311" s="37"/>
      <c r="D311" s="37"/>
      <c r="E311" s="37"/>
      <c r="F311" s="37"/>
      <c r="G311"/>
      <c r="H311" s="1044" t="s">
        <v>2021</v>
      </c>
      <c r="I311" s="1044"/>
      <c r="J311" s="1044"/>
      <c r="K311" s="1044"/>
      <c r="L311" s="1044"/>
      <c r="M311" s="1044"/>
      <c r="N311" s="1044"/>
      <c r="O311" s="1044"/>
      <c r="P311" s="1044"/>
      <c r="Q311" s="1044"/>
      <c r="R311" s="1044"/>
      <c r="S311"/>
      <c r="T311" s="37" t="s">
        <v>1990</v>
      </c>
      <c r="U311"/>
      <c r="V311" s="37"/>
      <c r="W311" s="37"/>
      <c r="X311" s="37"/>
      <c r="Y311" s="37"/>
      <c r="Z311"/>
      <c r="AA311" s="1044" t="s">
        <v>2022</v>
      </c>
      <c r="AB311" s="1044"/>
      <c r="AC311" s="1044"/>
      <c r="AD311" s="1044"/>
      <c r="AE311" s="1044"/>
      <c r="AF311" s="1044"/>
      <c r="AG311" s="1044"/>
      <c r="AH311" s="1044"/>
      <c r="AI311" s="1044"/>
      <c r="AJ311" s="1044"/>
      <c r="AK311" s="1044"/>
      <c r="AL311" s="414"/>
      <c r="AN311" s="243"/>
    </row>
    <row r="312" spans="2:40" s="4" customFormat="1" ht="12.75" customHeight="1">
      <c r="B312" s="37" t="s">
        <v>1100</v>
      </c>
      <c r="C312" s="37"/>
      <c r="D312" s="37"/>
      <c r="E312" s="37"/>
      <c r="F312" s="37"/>
      <c r="G312"/>
      <c r="H312" s="1045" t="s">
        <v>2023</v>
      </c>
      <c r="I312" s="1045"/>
      <c r="J312" s="1045"/>
      <c r="K312" s="1045"/>
      <c r="L312" s="1045"/>
      <c r="M312" s="1045"/>
      <c r="N312" s="1045"/>
      <c r="O312" s="1045"/>
      <c r="P312" s="1045"/>
      <c r="Q312" s="1045"/>
      <c r="R312" s="1045"/>
      <c r="S312"/>
      <c r="T312" s="37" t="s">
        <v>1100</v>
      </c>
      <c r="U312"/>
      <c r="V312" s="37"/>
      <c r="W312" s="37"/>
      <c r="X312" s="37"/>
      <c r="Y312" s="37"/>
      <c r="Z312"/>
      <c r="AA312" s="1045" t="s">
        <v>2024</v>
      </c>
      <c r="AB312" s="1045"/>
      <c r="AC312" s="1045"/>
      <c r="AD312" s="1045"/>
      <c r="AE312" s="1045"/>
      <c r="AF312" s="1045"/>
      <c r="AG312" s="1045"/>
      <c r="AH312" s="1045"/>
      <c r="AI312" s="1045"/>
      <c r="AJ312" s="1045"/>
      <c r="AK312" s="1045"/>
      <c r="AL312" s="414"/>
      <c r="AN312" s="243"/>
    </row>
    <row r="313" spans="2:40" s="4" customFormat="1" ht="12.75" customHeight="1">
      <c r="B313" s="37" t="s">
        <v>1995</v>
      </c>
      <c r="C313" s="37"/>
      <c r="D313" s="37"/>
      <c r="E313" s="37"/>
      <c r="F313" s="37"/>
      <c r="G313"/>
      <c r="H313" s="1045" t="s">
        <v>1996</v>
      </c>
      <c r="I313" s="1045"/>
      <c r="J313" s="1045"/>
      <c r="K313" s="1045"/>
      <c r="L313" s="1045"/>
      <c r="M313" s="1045"/>
      <c r="N313" s="1045"/>
      <c r="O313" s="1045"/>
      <c r="P313" s="1045"/>
      <c r="Q313" s="1045"/>
      <c r="R313" s="1045"/>
      <c r="S313"/>
      <c r="T313" s="37" t="s">
        <v>1995</v>
      </c>
      <c r="U313"/>
      <c r="V313" s="37"/>
      <c r="W313" s="37"/>
      <c r="X313" s="37"/>
      <c r="Y313" s="37"/>
      <c r="Z313"/>
      <c r="AA313" s="1045" t="s">
        <v>1996</v>
      </c>
      <c r="AB313" s="1045"/>
      <c r="AC313" s="1045"/>
      <c r="AD313" s="1045"/>
      <c r="AE313" s="1045"/>
      <c r="AF313" s="1045"/>
      <c r="AG313" s="1045"/>
      <c r="AH313" s="1045"/>
      <c r="AI313" s="1045"/>
      <c r="AJ313" s="1045"/>
      <c r="AK313" s="1045"/>
      <c r="AL313" s="414"/>
      <c r="AN313" s="243"/>
    </row>
    <row r="314" spans="2:40" s="4" customFormat="1" ht="12.75" customHeight="1">
      <c r="B314" s="37" t="s">
        <v>1051</v>
      </c>
      <c r="C314" s="37"/>
      <c r="D314" s="37"/>
      <c r="E314" s="37"/>
      <c r="F314" s="37"/>
      <c r="G314"/>
      <c r="H314" s="1045"/>
      <c r="I314" s="1045"/>
      <c r="J314" s="1045"/>
      <c r="K314" s="1045"/>
      <c r="L314" s="1045"/>
      <c r="M314" s="1045"/>
      <c r="N314" s="1045"/>
      <c r="O314" s="1045"/>
      <c r="P314" s="1045"/>
      <c r="Q314" s="1045"/>
      <c r="R314" s="1045"/>
      <c r="S314"/>
      <c r="T314" s="37" t="s">
        <v>1051</v>
      </c>
      <c r="U314"/>
      <c r="V314" s="37"/>
      <c r="W314" s="37"/>
      <c r="X314" s="37"/>
      <c r="Y314" s="37"/>
      <c r="Z314"/>
      <c r="AA314" s="1045"/>
      <c r="AB314" s="1045"/>
      <c r="AC314" s="1045"/>
      <c r="AD314" s="1045"/>
      <c r="AE314" s="1045"/>
      <c r="AF314" s="1045"/>
      <c r="AG314" s="1045"/>
      <c r="AH314" s="1045"/>
      <c r="AI314" s="1045"/>
      <c r="AJ314" s="1045"/>
      <c r="AK314" s="1045"/>
      <c r="AL314" s="414"/>
      <c r="AN314" s="243"/>
    </row>
    <row r="315" spans="2:40" s="4" customFormat="1" ht="12.75" customHeight="1">
      <c r="B315" s="37" t="s">
        <v>1052</v>
      </c>
      <c r="C315" s="37"/>
      <c r="D315" s="37"/>
      <c r="E315" s="37"/>
      <c r="F315" s="37"/>
      <c r="G315" s="37"/>
      <c r="H315" s="1067" t="s">
        <v>2025</v>
      </c>
      <c r="I315" s="1067"/>
      <c r="J315" s="1067"/>
      <c r="K315" s="1067"/>
      <c r="L315" s="1067"/>
      <c r="M315" s="1067"/>
      <c r="N315" s="37" t="s">
        <v>1054</v>
      </c>
      <c r="O315" s="37"/>
      <c r="P315" s="1070">
        <v>2100</v>
      </c>
      <c r="Q315" s="1070"/>
      <c r="R315" s="1070"/>
      <c r="S315" s="37"/>
      <c r="T315" s="37" t="s">
        <v>1052</v>
      </c>
      <c r="U315"/>
      <c r="V315" s="37"/>
      <c r="W315" s="37"/>
      <c r="X315" s="37"/>
      <c r="Y315" s="37"/>
      <c r="Z315"/>
      <c r="AA315" s="1067" t="s">
        <v>2026</v>
      </c>
      <c r="AB315" s="1067"/>
      <c r="AC315" s="1067"/>
      <c r="AD315" s="1067"/>
      <c r="AE315" s="1067"/>
      <c r="AF315" s="1067"/>
      <c r="AG315" s="37" t="s">
        <v>1054</v>
      </c>
      <c r="AH315" s="37"/>
      <c r="AI315" s="1070"/>
      <c r="AJ315" s="1070"/>
      <c r="AK315" s="1070"/>
      <c r="AL315" s="414"/>
      <c r="AN315" s="243"/>
    </row>
    <row r="316" spans="2:40" s="4" customFormat="1" ht="12.75" customHeight="1">
      <c r="B316" s="37" t="s">
        <v>1999</v>
      </c>
      <c r="C316" s="37"/>
      <c r="D316" s="37"/>
      <c r="E316" s="37"/>
      <c r="F316" s="37"/>
      <c r="G316" s="37"/>
      <c r="H316" s="1045" t="s">
        <v>1959</v>
      </c>
      <c r="I316" s="1045"/>
      <c r="J316" s="1045"/>
      <c r="K316" s="1045"/>
      <c r="L316" s="1045"/>
      <c r="M316" s="1045"/>
      <c r="N316" s="1045"/>
      <c r="O316" s="1045"/>
      <c r="P316" s="1045"/>
      <c r="Q316" s="1045"/>
      <c r="R316" s="1045"/>
      <c r="S316" s="37"/>
      <c r="T316" s="37" t="s">
        <v>1999</v>
      </c>
      <c r="U316"/>
      <c r="V316" s="37"/>
      <c r="W316" s="37"/>
      <c r="X316" s="37"/>
      <c r="Y316" s="37"/>
      <c r="Z316"/>
      <c r="AA316" s="1045" t="s">
        <v>1959</v>
      </c>
      <c r="AB316" s="1045"/>
      <c r="AC316" s="1045"/>
      <c r="AD316" s="1045"/>
      <c r="AE316" s="1045"/>
      <c r="AF316" s="1045"/>
      <c r="AG316" s="1045"/>
      <c r="AH316" s="1045"/>
      <c r="AI316" s="1045"/>
      <c r="AJ316" s="1045"/>
      <c r="AK316" s="1045"/>
      <c r="AL316" s="414"/>
      <c r="AN316" s="243"/>
    </row>
    <row r="317" spans="2:40" s="4" customFormat="1" ht="12.75" customHeight="1">
      <c r="B317" s="37" t="s">
        <v>2000</v>
      </c>
      <c r="C317" s="37"/>
      <c r="D317" s="37"/>
      <c r="E317" s="37"/>
      <c r="F317" s="37"/>
      <c r="G317" s="37"/>
      <c r="H317" s="1045" t="s">
        <v>2027</v>
      </c>
      <c r="I317" s="1045"/>
      <c r="J317" s="1045"/>
      <c r="K317" s="1045"/>
      <c r="L317" s="1045"/>
      <c r="M317" s="1045"/>
      <c r="N317" s="1045"/>
      <c r="O317" s="1045"/>
      <c r="P317" s="1045"/>
      <c r="Q317" s="1045"/>
      <c r="R317" s="1045"/>
      <c r="S317" s="37"/>
      <c r="T317" s="37" t="s">
        <v>2000</v>
      </c>
      <c r="U317"/>
      <c r="V317" s="37"/>
      <c r="W317" s="37"/>
      <c r="X317" s="37"/>
      <c r="Y317" s="37"/>
      <c r="Z317"/>
      <c r="AA317" s="1045" t="s">
        <v>2028</v>
      </c>
      <c r="AB317" s="1045"/>
      <c r="AC317" s="1045"/>
      <c r="AD317" s="1045"/>
      <c r="AE317" s="1045"/>
      <c r="AF317" s="1045"/>
      <c r="AG317" s="1045"/>
      <c r="AH317" s="1045"/>
      <c r="AI317" s="1045"/>
      <c r="AJ317" s="1045"/>
      <c r="AK317" s="1045"/>
      <c r="AL317" s="414"/>
      <c r="AN317" s="243"/>
    </row>
    <row r="318" spans="2:40" s="4" customFormat="1" ht="12.75" customHeight="1">
      <c r="B318" s="37" t="s">
        <v>2003</v>
      </c>
      <c r="C318" s="37"/>
      <c r="D318" s="37"/>
      <c r="E318" s="37"/>
      <c r="F318" s="37"/>
      <c r="G318" s="37"/>
      <c r="H318" s="1619">
        <v>0.62</v>
      </c>
      <c r="I318" s="1619"/>
      <c r="J318" s="1619"/>
      <c r="K318" s="1619"/>
      <c r="L318" s="1619"/>
      <c r="M318" s="1619"/>
      <c r="N318" s="1619"/>
      <c r="O318" s="1619"/>
      <c r="P318" s="1619"/>
      <c r="Q318" s="1619"/>
      <c r="R318" s="1619"/>
      <c r="S318" s="37"/>
      <c r="T318" s="37" t="s">
        <v>2003</v>
      </c>
      <c r="U318" s="37"/>
      <c r="V318" s="37"/>
      <c r="W318" s="37"/>
      <c r="X318" s="37"/>
      <c r="Y318" s="37"/>
      <c r="Z318" s="12"/>
      <c r="AA318" s="1619">
        <v>0.56000000000000005</v>
      </c>
      <c r="AB318" s="1619"/>
      <c r="AC318" s="1619"/>
      <c r="AD318" s="1619"/>
      <c r="AE318" s="1619"/>
      <c r="AF318" s="1619"/>
      <c r="AG318" s="1619"/>
      <c r="AH318" s="1619"/>
      <c r="AI318" s="1619"/>
      <c r="AJ318" s="1619"/>
      <c r="AK318" s="1619"/>
      <c r="AL318" s="414"/>
      <c r="AN318" s="243"/>
    </row>
    <row r="319" spans="2:40" s="4" customFormat="1" ht="12.75" customHeight="1">
      <c r="B319" s="37"/>
      <c r="C319" s="37"/>
      <c r="D319" s="37"/>
      <c r="E319" s="37"/>
      <c r="F319" s="37"/>
      <c r="G319" s="37"/>
      <c r="H319" s="235"/>
      <c r="I319" s="235"/>
      <c r="J319" s="235"/>
      <c r="K319" s="235"/>
      <c r="L319" s="235"/>
      <c r="M319" s="235"/>
      <c r="N319" s="235"/>
      <c r="O319" s="235"/>
      <c r="P319" s="236"/>
      <c r="Q319" s="236"/>
      <c r="R319" s="236"/>
      <c r="S319" s="37"/>
      <c r="T319" s="37"/>
      <c r="U319" s="37"/>
      <c r="V319" s="37"/>
      <c r="W319" s="37"/>
      <c r="X319" s="37"/>
      <c r="Y319" s="37"/>
      <c r="Z319" s="237"/>
      <c r="AA319" s="237"/>
      <c r="AB319" s="237"/>
      <c r="AC319" s="237"/>
      <c r="AD319" s="237"/>
      <c r="AE319" s="237"/>
      <c r="AF319" s="237"/>
      <c r="AG319" s="237"/>
      <c r="AH319" s="12"/>
      <c r="AI319" s="12"/>
      <c r="AJ319" s="12"/>
      <c r="AK319" s="37"/>
      <c r="AL319" s="37"/>
      <c r="AN319" s="243"/>
    </row>
    <row r="320" spans="2:40" s="4" customFormat="1" ht="12.75" customHeight="1">
      <c r="B320" s="37" t="s">
        <v>1990</v>
      </c>
      <c r="C320" s="37"/>
      <c r="D320" s="37"/>
      <c r="E320" s="37"/>
      <c r="F320" s="37"/>
      <c r="G320"/>
      <c r="H320" s="1044" t="s">
        <v>2029</v>
      </c>
      <c r="I320" s="1044"/>
      <c r="J320" s="1044"/>
      <c r="K320" s="1044"/>
      <c r="L320" s="1044"/>
      <c r="M320" s="1044"/>
      <c r="N320" s="1044"/>
      <c r="O320" s="1044"/>
      <c r="P320" s="1044"/>
      <c r="Q320" s="1044"/>
      <c r="R320" s="1044"/>
      <c r="S320"/>
      <c r="T320" s="37" t="s">
        <v>1990</v>
      </c>
      <c r="U320"/>
      <c r="V320" s="37"/>
      <c r="W320" s="37"/>
      <c r="X320" s="37"/>
      <c r="Y320" s="37"/>
      <c r="Z320"/>
      <c r="AA320" s="1044" t="s">
        <v>2030</v>
      </c>
      <c r="AB320" s="1044"/>
      <c r="AC320" s="1044"/>
      <c r="AD320" s="1044"/>
      <c r="AE320" s="1044"/>
      <c r="AF320" s="1044"/>
      <c r="AG320" s="1044"/>
      <c r="AH320" s="1044"/>
      <c r="AI320" s="1044"/>
      <c r="AJ320" s="1044"/>
      <c r="AK320" s="1044"/>
      <c r="AL320" s="37"/>
      <c r="AN320" s="243"/>
    </row>
    <row r="321" spans="1:76" s="4" customFormat="1" ht="12.75" customHeight="1">
      <c r="B321" s="37" t="s">
        <v>1100</v>
      </c>
      <c r="C321" s="37"/>
      <c r="D321" s="37"/>
      <c r="E321" s="37"/>
      <c r="F321" s="37"/>
      <c r="G321"/>
      <c r="H321" s="1045" t="s">
        <v>2031</v>
      </c>
      <c r="I321" s="1045"/>
      <c r="J321" s="1045"/>
      <c r="K321" s="1045"/>
      <c r="L321" s="1045"/>
      <c r="M321" s="1045"/>
      <c r="N321" s="1045"/>
      <c r="O321" s="1045"/>
      <c r="P321" s="1045"/>
      <c r="Q321" s="1045"/>
      <c r="R321" s="1045"/>
      <c r="S321"/>
      <c r="T321" s="37" t="s">
        <v>1100</v>
      </c>
      <c r="U321"/>
      <c r="V321" s="37"/>
      <c r="W321" s="37"/>
      <c r="X321" s="37"/>
      <c r="Y321" s="37"/>
      <c r="Z321"/>
      <c r="AA321" s="1045" t="s">
        <v>2032</v>
      </c>
      <c r="AB321" s="1045"/>
      <c r="AC321" s="1045"/>
      <c r="AD321" s="1045"/>
      <c r="AE321" s="1045"/>
      <c r="AF321" s="1045"/>
      <c r="AG321" s="1045"/>
      <c r="AH321" s="1045"/>
      <c r="AI321" s="1045"/>
      <c r="AJ321" s="1045"/>
      <c r="AK321" s="1045"/>
      <c r="AL321" s="37"/>
      <c r="AN321" s="243"/>
    </row>
    <row r="322" spans="1:76" s="4" customFormat="1" ht="18" customHeight="1">
      <c r="B322" s="37" t="s">
        <v>1995</v>
      </c>
      <c r="C322" s="37"/>
      <c r="D322" s="37"/>
      <c r="E322" s="37"/>
      <c r="F322" s="37"/>
      <c r="G322"/>
      <c r="H322" s="1045" t="s">
        <v>2033</v>
      </c>
      <c r="I322" s="1045"/>
      <c r="J322" s="1045"/>
      <c r="K322" s="1045"/>
      <c r="L322" s="1045"/>
      <c r="M322" s="1045"/>
      <c r="N322" s="1045"/>
      <c r="O322" s="1045"/>
      <c r="P322" s="1045"/>
      <c r="Q322" s="1045"/>
      <c r="R322" s="1045"/>
      <c r="S322"/>
      <c r="T322" s="37" t="s">
        <v>1995</v>
      </c>
      <c r="U322"/>
      <c r="V322" s="37"/>
      <c r="W322" s="37"/>
      <c r="X322" s="37"/>
      <c r="Y322" s="37"/>
      <c r="Z322"/>
      <c r="AA322" s="1045" t="s">
        <v>2034</v>
      </c>
      <c r="AB322" s="1045"/>
      <c r="AC322" s="1045"/>
      <c r="AD322" s="1045"/>
      <c r="AE322" s="1045"/>
      <c r="AF322" s="1045"/>
      <c r="AG322" s="1045"/>
      <c r="AH322" s="1045"/>
      <c r="AI322" s="1045"/>
      <c r="AJ322" s="1045"/>
      <c r="AK322" s="1045"/>
      <c r="AL322" s="37"/>
      <c r="AN322" s="243"/>
    </row>
    <row r="323" spans="1:76" s="4" customFormat="1" ht="12.75" customHeight="1">
      <c r="B323" s="37" t="s">
        <v>1051</v>
      </c>
      <c r="C323" s="37"/>
      <c r="D323" s="37"/>
      <c r="E323" s="37"/>
      <c r="F323" s="37"/>
      <c r="G323"/>
      <c r="H323" s="1045"/>
      <c r="I323" s="1045"/>
      <c r="J323" s="1045"/>
      <c r="K323" s="1045"/>
      <c r="L323" s="1045"/>
      <c r="M323" s="1045"/>
      <c r="N323" s="1045"/>
      <c r="O323" s="1045"/>
      <c r="P323" s="1045"/>
      <c r="Q323" s="1045"/>
      <c r="R323" s="1045"/>
      <c r="S323"/>
      <c r="T323" s="37" t="s">
        <v>1051</v>
      </c>
      <c r="U323"/>
      <c r="V323" s="37"/>
      <c r="W323" s="37"/>
      <c r="X323" s="37"/>
      <c r="Y323" s="37"/>
      <c r="Z323"/>
      <c r="AA323" s="1045"/>
      <c r="AB323" s="1045"/>
      <c r="AC323" s="1045"/>
      <c r="AD323" s="1045"/>
      <c r="AE323" s="1045"/>
      <c r="AF323" s="1045"/>
      <c r="AG323" s="1045"/>
      <c r="AH323" s="1045"/>
      <c r="AI323" s="1045"/>
      <c r="AJ323" s="1045"/>
      <c r="AK323" s="1045"/>
      <c r="AL323" s="37"/>
      <c r="AN323" s="243"/>
    </row>
    <row r="324" spans="1:76" s="4" customFormat="1" ht="12.75" customHeight="1">
      <c r="B324" s="37" t="s">
        <v>1052</v>
      </c>
      <c r="C324" s="37"/>
      <c r="D324" s="37"/>
      <c r="E324" s="37"/>
      <c r="F324" s="37"/>
      <c r="G324" s="37"/>
      <c r="H324" s="1067" t="s">
        <v>2026</v>
      </c>
      <c r="I324" s="1067"/>
      <c r="J324" s="1067"/>
      <c r="K324" s="1067"/>
      <c r="L324" s="1067"/>
      <c r="M324" s="1067"/>
      <c r="N324" s="37" t="s">
        <v>1054</v>
      </c>
      <c r="O324" s="37"/>
      <c r="P324" s="1070"/>
      <c r="Q324" s="1070"/>
      <c r="R324" s="1070"/>
      <c r="S324" s="37"/>
      <c r="T324" s="37" t="s">
        <v>1052</v>
      </c>
      <c r="U324"/>
      <c r="V324" s="37"/>
      <c r="W324" s="37"/>
      <c r="X324" s="37"/>
      <c r="Y324" s="37"/>
      <c r="Z324"/>
      <c r="AA324" s="1067" t="s">
        <v>2035</v>
      </c>
      <c r="AB324" s="1067"/>
      <c r="AC324" s="1067"/>
      <c r="AD324" s="1067"/>
      <c r="AE324" s="1067"/>
      <c r="AF324" s="1067"/>
      <c r="AG324" s="37" t="s">
        <v>1054</v>
      </c>
      <c r="AH324" s="37"/>
      <c r="AI324" s="1070"/>
      <c r="AJ324" s="1070"/>
      <c r="AK324" s="1070"/>
      <c r="AL324" s="37"/>
      <c r="AN324" s="243"/>
    </row>
    <row r="325" spans="1:76" s="4" customFormat="1" ht="12.75" customHeight="1">
      <c r="B325" s="37" t="s">
        <v>1999</v>
      </c>
      <c r="C325" s="37"/>
      <c r="D325" s="37"/>
      <c r="E325" s="37"/>
      <c r="F325" s="37"/>
      <c r="G325" s="37"/>
      <c r="H325" s="1045"/>
      <c r="I325" s="1045"/>
      <c r="J325" s="1045"/>
      <c r="K325" s="1045"/>
      <c r="L325" s="1045"/>
      <c r="M325" s="1045"/>
      <c r="N325" s="1045"/>
      <c r="O325" s="1045"/>
      <c r="P325" s="1045"/>
      <c r="Q325" s="1045"/>
      <c r="R325" s="1045"/>
      <c r="S325" s="37"/>
      <c r="T325" s="37" t="s">
        <v>1999</v>
      </c>
      <c r="U325"/>
      <c r="V325" s="37"/>
      <c r="W325" s="37"/>
      <c r="X325" s="37"/>
      <c r="Y325" s="37"/>
      <c r="Z325"/>
      <c r="AA325" s="1045" t="s">
        <v>1960</v>
      </c>
      <c r="AB325" s="1045"/>
      <c r="AC325" s="1045"/>
      <c r="AD325" s="1045"/>
      <c r="AE325" s="1045"/>
      <c r="AF325" s="1045"/>
      <c r="AG325" s="1045"/>
      <c r="AH325" s="1045"/>
      <c r="AI325" s="1045"/>
      <c r="AJ325" s="1045"/>
      <c r="AK325" s="1045"/>
      <c r="AL325" s="37"/>
      <c r="AN325" s="243"/>
    </row>
    <row r="326" spans="1:76" s="4" customFormat="1" ht="12.75" customHeight="1">
      <c r="B326" s="37" t="s">
        <v>2000</v>
      </c>
      <c r="C326" s="37"/>
      <c r="D326" s="37"/>
      <c r="E326" s="37"/>
      <c r="F326" s="37"/>
      <c r="G326" s="37"/>
      <c r="H326" s="1045" t="s">
        <v>2036</v>
      </c>
      <c r="I326" s="1045"/>
      <c r="J326" s="1045"/>
      <c r="K326" s="1045"/>
      <c r="L326" s="1045"/>
      <c r="M326" s="1045"/>
      <c r="N326" s="1045"/>
      <c r="O326" s="1045"/>
      <c r="P326" s="1045"/>
      <c r="Q326" s="1045"/>
      <c r="R326" s="1045"/>
      <c r="S326" s="37"/>
      <c r="T326" s="37" t="s">
        <v>2000</v>
      </c>
      <c r="U326"/>
      <c r="V326" s="37"/>
      <c r="W326" s="37"/>
      <c r="X326" s="37"/>
      <c r="Y326" s="37"/>
      <c r="Z326"/>
      <c r="AA326" s="1045" t="s">
        <v>2037</v>
      </c>
      <c r="AB326" s="1045"/>
      <c r="AC326" s="1045"/>
      <c r="AD326" s="1045"/>
      <c r="AE326" s="1045"/>
      <c r="AF326" s="1045"/>
      <c r="AG326" s="1045"/>
      <c r="AH326" s="1045"/>
      <c r="AI326" s="1045"/>
      <c r="AJ326" s="1045"/>
      <c r="AK326" s="1045"/>
      <c r="AL326" s="37"/>
      <c r="AN326" s="243"/>
    </row>
    <row r="327" spans="1:76" s="4" customFormat="1" ht="12.75" customHeight="1">
      <c r="B327" s="37" t="s">
        <v>2003</v>
      </c>
      <c r="C327" s="37"/>
      <c r="D327" s="37"/>
      <c r="E327" s="37"/>
      <c r="F327" s="37"/>
      <c r="G327" s="37"/>
      <c r="H327" s="1619">
        <v>2.4</v>
      </c>
      <c r="I327" s="1619"/>
      <c r="J327" s="1619"/>
      <c r="K327" s="1619"/>
      <c r="L327" s="1619"/>
      <c r="M327" s="1619"/>
      <c r="N327" s="1619"/>
      <c r="O327" s="1619"/>
      <c r="P327" s="1619"/>
      <c r="Q327" s="1619"/>
      <c r="R327" s="1619"/>
      <c r="S327" s="37"/>
      <c r="T327" s="37" t="s">
        <v>2003</v>
      </c>
      <c r="U327" s="37"/>
      <c r="V327" s="37"/>
      <c r="W327" s="37"/>
      <c r="X327" s="37"/>
      <c r="Y327" s="37"/>
      <c r="Z327" s="12"/>
      <c r="AA327" s="1619">
        <v>1.2</v>
      </c>
      <c r="AB327" s="1619"/>
      <c r="AC327" s="1619"/>
      <c r="AD327" s="1619"/>
      <c r="AE327" s="1619"/>
      <c r="AF327" s="1619"/>
      <c r="AG327" s="1619"/>
      <c r="AH327" s="1619"/>
      <c r="AI327" s="1619"/>
      <c r="AJ327" s="1619"/>
      <c r="AK327" s="1619"/>
      <c r="AL327" s="37"/>
      <c r="AN327" s="243"/>
    </row>
    <row r="328" spans="1:76" s="4" customFormat="1" ht="12.75" customHeight="1" thickBot="1">
      <c r="A328" s="17"/>
      <c r="B328" s="17"/>
      <c r="C328" s="82"/>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910"/>
      <c r="AE328" s="118"/>
      <c r="AF328" s="118"/>
      <c r="AG328" s="118"/>
      <c r="AH328" s="118"/>
      <c r="AI328" s="82"/>
      <c r="AJ328" s="82"/>
      <c r="AK328" s="82"/>
      <c r="AL328" s="82"/>
      <c r="AM328" s="82"/>
      <c r="AN328" s="243"/>
    </row>
    <row r="329" spans="1:76" s="4" customFormat="1" ht="12.75" customHeight="1" thickTop="1">
      <c r="A329"/>
      <c r="B329" s="164"/>
      <c r="C329" s="165"/>
      <c r="D329" s="165"/>
      <c r="E329" s="165"/>
      <c r="F329" s="165"/>
      <c r="G329" s="165"/>
      <c r="H329" s="165"/>
      <c r="I329" s="83"/>
      <c r="J329" s="83"/>
      <c r="K329" s="83"/>
      <c r="L329" s="83"/>
      <c r="M329" s="83"/>
      <c r="N329" s="83"/>
      <c r="O329" s="83"/>
      <c r="P329" s="83"/>
      <c r="Q329" s="83"/>
      <c r="R329"/>
      <c r="S329"/>
      <c r="T329" s="3"/>
      <c r="U329" s="3"/>
      <c r="V329" s="3"/>
      <c r="W329" s="3"/>
      <c r="X329" s="3"/>
      <c r="Y329" s="3"/>
      <c r="Z329" s="3"/>
      <c r="AA329" s="3"/>
      <c r="AB329" s="3"/>
      <c r="AC329" s="3"/>
      <c r="AD329" s="3"/>
      <c r="AE329" s="3"/>
      <c r="AF329"/>
      <c r="AG329" s="3"/>
      <c r="AH329" s="3"/>
      <c r="AI329" s="3"/>
      <c r="AJ329" s="3"/>
      <c r="AN329" s="243"/>
    </row>
    <row r="330" spans="1:76" s="4" customFormat="1" ht="12.75" customHeight="1">
      <c r="B330" s="3" t="s">
        <v>2038</v>
      </c>
      <c r="C330" s="37"/>
      <c r="AC330" s="3"/>
      <c r="AE330" s="1591" t="s">
        <v>1848</v>
      </c>
      <c r="AF330" s="1591"/>
      <c r="AG330" s="1591"/>
      <c r="AH330" s="1591"/>
      <c r="AI330" s="1591"/>
      <c r="AJ330" s="1591"/>
      <c r="AK330" s="1591"/>
      <c r="AL330" s="3"/>
      <c r="AM330" s="735"/>
      <c r="AN330" s="3"/>
    </row>
    <row r="331" spans="1:76" s="4" customFormat="1" ht="12.75" customHeight="1">
      <c r="A331" s="3"/>
      <c r="B331" s="37"/>
      <c r="C331" s="1620" t="s">
        <v>2039</v>
      </c>
      <c r="D331" s="1620"/>
      <c r="E331" s="1620"/>
      <c r="F331" s="1620"/>
      <c r="G331" s="1620"/>
      <c r="H331" s="1620"/>
      <c r="I331" s="1620"/>
      <c r="J331" s="1620"/>
      <c r="K331" s="1620"/>
      <c r="L331" s="1620"/>
      <c r="M331" s="1620"/>
      <c r="N331" s="1620"/>
      <c r="O331" s="1620"/>
      <c r="P331" s="1620"/>
      <c r="Q331" s="1620"/>
      <c r="R331" s="1620"/>
      <c r="S331" s="1620"/>
      <c r="T331" s="1620"/>
      <c r="U331" s="1620"/>
      <c r="V331" s="1620"/>
      <c r="W331" s="1620"/>
      <c r="X331" s="1620"/>
      <c r="Y331" s="1620"/>
      <c r="Z331" s="1620"/>
      <c r="AA331" s="1620"/>
      <c r="AB331" s="1620"/>
      <c r="AC331" s="1620"/>
      <c r="AD331" s="1620"/>
      <c r="AE331" s="1620"/>
      <c r="AF331" s="1620"/>
      <c r="AG331" s="1620"/>
      <c r="AH331" s="1620"/>
      <c r="AI331" s="1620"/>
      <c r="AJ331" s="1620"/>
      <c r="AM331" s="736"/>
      <c r="AS331" s="695"/>
      <c r="AT331" s="695"/>
      <c r="AU331" s="695"/>
      <c r="AV331" s="695"/>
      <c r="AW331" s="695"/>
      <c r="AX331" s="695"/>
      <c r="AY331" s="695"/>
      <c r="AZ331" s="695"/>
      <c r="BA331" s="695"/>
      <c r="BB331" s="695"/>
      <c r="BC331" s="695"/>
      <c r="BD331" s="695"/>
      <c r="BE331" s="695"/>
      <c r="BF331" s="695"/>
      <c r="BG331" s="695"/>
      <c r="BH331" s="695"/>
      <c r="BI331" s="695"/>
      <c r="BJ331" s="695"/>
      <c r="BK331" s="695"/>
      <c r="BL331" s="695"/>
      <c r="BM331" s="695"/>
      <c r="BN331" s="695"/>
      <c r="BO331" s="695"/>
      <c r="BP331" s="695"/>
      <c r="BQ331" s="695"/>
      <c r="BR331" s="695"/>
      <c r="BS331" s="695"/>
      <c r="BT331" s="695"/>
      <c r="BU331" s="695"/>
      <c r="BV331" s="695"/>
      <c r="BW331" s="695"/>
      <c r="BX331" s="695"/>
    </row>
    <row r="332" spans="1:76" s="4" customFormat="1" ht="12.75" customHeight="1">
      <c r="A332"/>
      <c r="C332" s="1620"/>
      <c r="D332" s="1620"/>
      <c r="E332" s="1620"/>
      <c r="F332" s="1620"/>
      <c r="G332" s="1620"/>
      <c r="H332" s="1620"/>
      <c r="I332" s="1620"/>
      <c r="J332" s="1620"/>
      <c r="K332" s="1620"/>
      <c r="L332" s="1620"/>
      <c r="M332" s="1620"/>
      <c r="N332" s="1620"/>
      <c r="O332" s="1620"/>
      <c r="P332" s="1620"/>
      <c r="Q332" s="1620"/>
      <c r="R332" s="1620"/>
      <c r="S332" s="1620"/>
      <c r="T332" s="1620"/>
      <c r="U332" s="1620"/>
      <c r="V332" s="1620"/>
      <c r="W332" s="1620"/>
      <c r="X332" s="1620"/>
      <c r="Y332" s="1620"/>
      <c r="Z332" s="1620"/>
      <c r="AA332" s="1620"/>
      <c r="AB332" s="1620"/>
      <c r="AC332" s="1620"/>
      <c r="AD332" s="1620"/>
      <c r="AE332" s="1620"/>
      <c r="AF332" s="1620"/>
      <c r="AG332" s="1620"/>
      <c r="AH332" s="1620"/>
      <c r="AI332" s="1620"/>
      <c r="AJ332" s="1620"/>
      <c r="AK332" s="3"/>
      <c r="AL332" s="3"/>
      <c r="AM332" s="26"/>
      <c r="AN332" s="243"/>
      <c r="AR332" s="695"/>
      <c r="AS332" s="695"/>
      <c r="AT332" s="695"/>
      <c r="AU332" s="695"/>
      <c r="AV332" s="695"/>
      <c r="AW332" s="695"/>
      <c r="AX332" s="695"/>
      <c r="AY332" s="695"/>
      <c r="AZ332" s="695"/>
      <c r="BA332" s="695"/>
      <c r="BB332" s="695"/>
      <c r="BC332" s="695"/>
      <c r="BD332" s="695"/>
      <c r="BE332" s="695"/>
      <c r="BF332" s="695"/>
      <c r="BG332" s="695"/>
      <c r="BH332" s="695"/>
      <c r="BI332" s="695"/>
      <c r="BJ332" s="695"/>
      <c r="BK332" s="695"/>
      <c r="BL332" s="695"/>
      <c r="BM332" s="695"/>
      <c r="BN332" s="695"/>
      <c r="BO332" s="695"/>
      <c r="BP332" s="695"/>
      <c r="BQ332" s="695"/>
      <c r="BR332" s="695"/>
      <c r="BS332" s="695"/>
      <c r="BT332" s="695"/>
      <c r="BU332" s="695"/>
      <c r="BV332" s="695"/>
      <c r="BW332" s="695"/>
      <c r="BX332" s="695"/>
    </row>
    <row r="333" spans="1:76" s="4" customFormat="1" ht="12.75" customHeight="1">
      <c r="A333" s="26"/>
      <c r="B333" s="25"/>
      <c r="C333" s="1620"/>
      <c r="D333" s="1620"/>
      <c r="E333" s="1620"/>
      <c r="F333" s="1620"/>
      <c r="G333" s="1620"/>
      <c r="H333" s="1620"/>
      <c r="I333" s="1620"/>
      <c r="J333" s="1620"/>
      <c r="K333" s="1620"/>
      <c r="L333" s="1620"/>
      <c r="M333" s="1620"/>
      <c r="N333" s="1620"/>
      <c r="O333" s="1620"/>
      <c r="P333" s="1620"/>
      <c r="Q333" s="1620"/>
      <c r="R333" s="1620"/>
      <c r="S333" s="1620"/>
      <c r="T333" s="1620"/>
      <c r="U333" s="1620"/>
      <c r="V333" s="1620"/>
      <c r="W333" s="1620"/>
      <c r="X333" s="1620"/>
      <c r="Y333" s="1620"/>
      <c r="Z333" s="1620"/>
      <c r="AA333" s="1620"/>
      <c r="AB333" s="1620"/>
      <c r="AC333" s="1620"/>
      <c r="AD333" s="1620"/>
      <c r="AE333" s="1620"/>
      <c r="AF333" s="1620"/>
      <c r="AG333" s="1620"/>
      <c r="AH333" s="1620"/>
      <c r="AI333" s="1620"/>
      <c r="AJ333" s="1620"/>
      <c r="AK333" s="26"/>
      <c r="AL333" s="26"/>
      <c r="AM333" s="26"/>
      <c r="AN333" s="243"/>
      <c r="AO333" s="163"/>
      <c r="AR333" s="695"/>
      <c r="AS333" s="695"/>
      <c r="AT333" s="695"/>
      <c r="AU333" s="695"/>
      <c r="AV333" s="695"/>
      <c r="AW333" s="695"/>
      <c r="AX333" s="695"/>
      <c r="AY333" s="695"/>
      <c r="AZ333" s="695"/>
      <c r="BA333" s="695"/>
      <c r="BB333" s="695"/>
      <c r="BC333" s="695"/>
      <c r="BD333" s="695"/>
      <c r="BE333" s="695"/>
      <c r="BF333" s="695"/>
      <c r="BG333" s="695"/>
      <c r="BH333" s="695"/>
      <c r="BI333" s="695"/>
      <c r="BJ333" s="695"/>
      <c r="BK333" s="695"/>
      <c r="BL333" s="695"/>
      <c r="BM333" s="695"/>
      <c r="BN333" s="695"/>
      <c r="BO333" s="695"/>
      <c r="BP333" s="695"/>
      <c r="BQ333" s="695"/>
      <c r="BR333" s="695"/>
      <c r="BS333" s="695"/>
      <c r="BT333" s="695"/>
      <c r="BU333" s="695"/>
      <c r="BV333" s="695"/>
      <c r="BW333" s="695"/>
      <c r="BX333" s="695"/>
    </row>
    <row r="334" spans="1:76" s="4" customFormat="1" ht="12.75" customHeight="1">
      <c r="A334" s="26"/>
      <c r="B334" s="25"/>
      <c r="C334" s="1620"/>
      <c r="D334" s="1620"/>
      <c r="E334" s="1620"/>
      <c r="F334" s="1620"/>
      <c r="G334" s="1620"/>
      <c r="H334" s="1620"/>
      <c r="I334" s="1620"/>
      <c r="J334" s="1620"/>
      <c r="K334" s="1620"/>
      <c r="L334" s="1620"/>
      <c r="M334" s="1620"/>
      <c r="N334" s="1620"/>
      <c r="O334" s="1620"/>
      <c r="P334" s="1620"/>
      <c r="Q334" s="1620"/>
      <c r="R334" s="1620"/>
      <c r="S334" s="1620"/>
      <c r="T334" s="1620"/>
      <c r="U334" s="1620"/>
      <c r="V334" s="1620"/>
      <c r="W334" s="1620"/>
      <c r="X334" s="1620"/>
      <c r="Y334" s="1620"/>
      <c r="Z334" s="1620"/>
      <c r="AA334" s="1620"/>
      <c r="AB334" s="1620"/>
      <c r="AC334" s="1620"/>
      <c r="AD334" s="1620"/>
      <c r="AE334" s="1620"/>
      <c r="AF334" s="1620"/>
      <c r="AG334" s="1620"/>
      <c r="AH334" s="1620"/>
      <c r="AI334" s="1620"/>
      <c r="AJ334" s="1620"/>
      <c r="AK334" s="26"/>
      <c r="AL334" s="26"/>
      <c r="AM334" s="26"/>
      <c r="AN334" s="243"/>
      <c r="AO334" s="163"/>
      <c r="AR334" s="695"/>
      <c r="AS334" s="695"/>
      <c r="AT334" s="695"/>
      <c r="AU334" s="695"/>
      <c r="AV334" s="695"/>
      <c r="AW334" s="695"/>
      <c r="AX334" s="695"/>
      <c r="AY334" s="695"/>
      <c r="AZ334" s="695"/>
      <c r="BA334" s="695"/>
      <c r="BB334" s="695"/>
      <c r="BC334" s="695"/>
      <c r="BD334" s="695"/>
      <c r="BE334" s="695"/>
      <c r="BF334" s="695"/>
      <c r="BG334" s="695"/>
      <c r="BH334" s="695"/>
      <c r="BI334" s="695"/>
      <c r="BJ334" s="695"/>
      <c r="BK334" s="695"/>
      <c r="BL334" s="695"/>
      <c r="BM334" s="695"/>
      <c r="BN334" s="695"/>
      <c r="BO334" s="695"/>
      <c r="BP334" s="695"/>
      <c r="BQ334" s="695"/>
      <c r="BR334" s="695"/>
      <c r="BS334" s="695"/>
      <c r="BT334" s="695"/>
      <c r="BU334" s="695"/>
      <c r="BV334" s="695"/>
      <c r="BW334" s="695"/>
      <c r="BX334" s="695"/>
    </row>
    <row r="335" spans="1:76" s="4" customFormat="1" ht="12.75" customHeight="1">
      <c r="A335" s="26"/>
      <c r="B335" s="25"/>
      <c r="C335" s="1620"/>
      <c r="D335" s="1620"/>
      <c r="E335" s="1620"/>
      <c r="F335" s="1620"/>
      <c r="G335" s="1620"/>
      <c r="H335" s="1620"/>
      <c r="I335" s="1620"/>
      <c r="J335" s="1620"/>
      <c r="K335" s="1620"/>
      <c r="L335" s="1620"/>
      <c r="M335" s="1620"/>
      <c r="N335" s="1620"/>
      <c r="O335" s="1620"/>
      <c r="P335" s="1620"/>
      <c r="Q335" s="1620"/>
      <c r="R335" s="1620"/>
      <c r="S335" s="1620"/>
      <c r="T335" s="1620"/>
      <c r="U335" s="1620"/>
      <c r="V335" s="1620"/>
      <c r="W335" s="1620"/>
      <c r="X335" s="1620"/>
      <c r="Y335" s="1620"/>
      <c r="Z335" s="1620"/>
      <c r="AA335" s="1620"/>
      <c r="AB335" s="1620"/>
      <c r="AC335" s="1620"/>
      <c r="AD335" s="1620"/>
      <c r="AE335" s="1620"/>
      <c r="AF335" s="1620"/>
      <c r="AG335" s="1620"/>
      <c r="AH335" s="1620"/>
      <c r="AI335" s="1620"/>
      <c r="AJ335" s="1620"/>
      <c r="AK335" s="26"/>
      <c r="AL335" s="26"/>
      <c r="AM335" s="26"/>
      <c r="AN335" s="243"/>
      <c r="AO335" s="163"/>
      <c r="AR335" s="695"/>
      <c r="AS335" s="695"/>
      <c r="AT335" s="695"/>
      <c r="AU335" s="695"/>
      <c r="AV335" s="695"/>
      <c r="AW335" s="695"/>
      <c r="AX335" s="695"/>
      <c r="AY335" s="695"/>
      <c r="AZ335" s="695"/>
      <c r="BA335" s="695"/>
      <c r="BB335" s="695"/>
      <c r="BC335" s="695"/>
      <c r="BD335" s="695"/>
      <c r="BE335" s="695"/>
      <c r="BF335" s="695"/>
      <c r="BG335" s="695"/>
      <c r="BH335" s="695"/>
      <c r="BI335" s="695"/>
      <c r="BJ335" s="695"/>
      <c r="BK335" s="695"/>
      <c r="BL335" s="695"/>
      <c r="BM335" s="695"/>
      <c r="BN335" s="695"/>
      <c r="BO335" s="695"/>
      <c r="BP335" s="695"/>
      <c r="BQ335" s="695"/>
      <c r="BR335" s="695"/>
      <c r="BS335" s="695"/>
      <c r="BT335" s="695"/>
      <c r="BU335" s="695"/>
      <c r="BV335" s="695"/>
      <c r="BW335" s="695"/>
      <c r="BX335" s="695"/>
    </row>
    <row r="336" spans="1:76" s="4" customFormat="1" ht="12.75" customHeight="1">
      <c r="A336" s="26"/>
      <c r="B336" s="25"/>
      <c r="C336" s="1620"/>
      <c r="D336" s="1620"/>
      <c r="E336" s="1620"/>
      <c r="F336" s="1620"/>
      <c r="G336" s="1620"/>
      <c r="H336" s="1620"/>
      <c r="I336" s="1620"/>
      <c r="J336" s="1620"/>
      <c r="K336" s="1620"/>
      <c r="L336" s="1620"/>
      <c r="M336" s="1620"/>
      <c r="N336" s="1620"/>
      <c r="O336" s="1620"/>
      <c r="P336" s="1620"/>
      <c r="Q336" s="1620"/>
      <c r="R336" s="1620"/>
      <c r="S336" s="1620"/>
      <c r="T336" s="1620"/>
      <c r="U336" s="1620"/>
      <c r="V336" s="1620"/>
      <c r="W336" s="1620"/>
      <c r="X336" s="1620"/>
      <c r="Y336" s="1620"/>
      <c r="Z336" s="1620"/>
      <c r="AA336" s="1620"/>
      <c r="AB336" s="1620"/>
      <c r="AC336" s="1620"/>
      <c r="AD336" s="1620"/>
      <c r="AE336" s="1620"/>
      <c r="AF336" s="1620"/>
      <c r="AG336" s="1620"/>
      <c r="AH336" s="1620"/>
      <c r="AI336" s="1620"/>
      <c r="AJ336" s="1620"/>
      <c r="AK336" s="26"/>
      <c r="AL336" s="26"/>
      <c r="AM336" s="26"/>
      <c r="AN336" s="243"/>
      <c r="AO336" s="163"/>
      <c r="AR336" s="695"/>
      <c r="AS336" s="695"/>
      <c r="AT336" s="695"/>
      <c r="AU336" s="695"/>
      <c r="AV336" s="695"/>
      <c r="AW336" s="695"/>
      <c r="AX336" s="695"/>
      <c r="AY336" s="695"/>
      <c r="AZ336" s="695"/>
      <c r="BA336" s="695"/>
      <c r="BB336" s="695"/>
      <c r="BC336" s="695"/>
      <c r="BD336" s="695"/>
      <c r="BE336" s="695"/>
      <c r="BF336" s="695"/>
      <c r="BG336" s="695"/>
      <c r="BH336" s="695"/>
      <c r="BI336" s="695"/>
      <c r="BJ336" s="695"/>
      <c r="BK336" s="695"/>
      <c r="BL336" s="695"/>
      <c r="BM336" s="695"/>
      <c r="BN336" s="695"/>
      <c r="BO336" s="695"/>
      <c r="BP336" s="695"/>
      <c r="BQ336" s="695"/>
      <c r="BR336" s="695"/>
      <c r="BS336" s="695"/>
      <c r="BT336" s="695"/>
      <c r="BU336" s="695"/>
      <c r="BV336" s="695"/>
      <c r="BW336" s="695"/>
      <c r="BX336" s="695"/>
    </row>
    <row r="337" spans="1:76" s="4" customFormat="1" ht="12.6" customHeight="1">
      <c r="A337" s="26"/>
      <c r="B337" s="25"/>
      <c r="C337" s="1620"/>
      <c r="D337" s="1620"/>
      <c r="E337" s="1620"/>
      <c r="F337" s="1620"/>
      <c r="G337" s="1620"/>
      <c r="H337" s="1620"/>
      <c r="I337" s="1620"/>
      <c r="J337" s="1620"/>
      <c r="K337" s="1620"/>
      <c r="L337" s="1620"/>
      <c r="M337" s="1620"/>
      <c r="N337" s="1620"/>
      <c r="O337" s="1620"/>
      <c r="P337" s="1620"/>
      <c r="Q337" s="1620"/>
      <c r="R337" s="1620"/>
      <c r="S337" s="1620"/>
      <c r="T337" s="1620"/>
      <c r="U337" s="1620"/>
      <c r="V337" s="1620"/>
      <c r="W337" s="1620"/>
      <c r="X337" s="1620"/>
      <c r="Y337" s="1620"/>
      <c r="Z337" s="1620"/>
      <c r="AA337" s="1620"/>
      <c r="AB337" s="1620"/>
      <c r="AC337" s="1620"/>
      <c r="AD337" s="1620"/>
      <c r="AE337" s="1620"/>
      <c r="AF337" s="1620"/>
      <c r="AG337" s="1620"/>
      <c r="AH337" s="1620"/>
      <c r="AI337" s="1620"/>
      <c r="AJ337" s="1620"/>
      <c r="AK337" s="26"/>
      <c r="AL337" s="26"/>
      <c r="AM337" s="26"/>
      <c r="AN337" s="243"/>
      <c r="AO337" s="163"/>
      <c r="AR337" s="695"/>
      <c r="AS337" s="695"/>
      <c r="AT337" s="695"/>
      <c r="AU337" s="695"/>
      <c r="AV337" s="695"/>
      <c r="AW337" s="695"/>
      <c r="AX337" s="695"/>
      <c r="AY337" s="695"/>
      <c r="AZ337" s="695"/>
      <c r="BA337" s="695"/>
      <c r="BB337" s="695"/>
      <c r="BC337" s="695"/>
      <c r="BD337" s="695"/>
      <c r="BE337" s="695"/>
      <c r="BF337" s="695"/>
      <c r="BG337" s="695"/>
      <c r="BH337" s="695"/>
      <c r="BI337" s="695"/>
      <c r="BJ337" s="695"/>
      <c r="BK337" s="695"/>
      <c r="BL337" s="695"/>
      <c r="BM337" s="695"/>
      <c r="BN337" s="695"/>
      <c r="BO337" s="695"/>
      <c r="BP337" s="695"/>
      <c r="BQ337" s="695"/>
      <c r="BR337" s="695"/>
      <c r="BS337" s="695"/>
      <c r="BT337" s="695"/>
      <c r="BU337" s="695"/>
      <c r="BV337" s="695"/>
      <c r="BW337" s="695"/>
      <c r="BX337" s="695"/>
    </row>
    <row r="338" spans="1:76" s="4" customFormat="1" ht="12.6" customHeight="1">
      <c r="A338" s="26"/>
      <c r="B338" s="25"/>
      <c r="C338" s="1620"/>
      <c r="D338" s="1620"/>
      <c r="E338" s="1620"/>
      <c r="F338" s="1620"/>
      <c r="G338" s="1620"/>
      <c r="H338" s="1620"/>
      <c r="I338" s="1620"/>
      <c r="J338" s="1620"/>
      <c r="K338" s="1620"/>
      <c r="L338" s="1620"/>
      <c r="M338" s="1620"/>
      <c r="N338" s="1620"/>
      <c r="O338" s="1620"/>
      <c r="P338" s="1620"/>
      <c r="Q338" s="1620"/>
      <c r="R338" s="1620"/>
      <c r="S338" s="1620"/>
      <c r="T338" s="1620"/>
      <c r="U338" s="1620"/>
      <c r="V338" s="1620"/>
      <c r="W338" s="1620"/>
      <c r="X338" s="1620"/>
      <c r="Y338" s="1620"/>
      <c r="Z338" s="1620"/>
      <c r="AA338" s="1620"/>
      <c r="AB338" s="1620"/>
      <c r="AC338" s="1620"/>
      <c r="AD338" s="1620"/>
      <c r="AE338" s="1620"/>
      <c r="AF338" s="1620"/>
      <c r="AG338" s="1620"/>
      <c r="AH338" s="1620"/>
      <c r="AI338" s="1620"/>
      <c r="AJ338" s="1620"/>
      <c r="AK338" s="26"/>
      <c r="AL338" s="26"/>
      <c r="AM338" s="26"/>
      <c r="AN338" s="243"/>
      <c r="AO338" s="163"/>
    </row>
    <row r="339" spans="1:76" s="4" customFormat="1" ht="12.75" customHeight="1">
      <c r="A339" s="26"/>
      <c r="B339" s="25"/>
      <c r="C339" s="1620" t="s">
        <v>2040</v>
      </c>
      <c r="D339" s="1620"/>
      <c r="E339" s="1620"/>
      <c r="F339" s="1620"/>
      <c r="G339" s="1620"/>
      <c r="H339" s="1620"/>
      <c r="I339" s="1620"/>
      <c r="J339" s="1620"/>
      <c r="K339" s="1620"/>
      <c r="L339" s="1620"/>
      <c r="M339" s="1620"/>
      <c r="N339" s="1620"/>
      <c r="O339" s="1620"/>
      <c r="P339" s="1620"/>
      <c r="Q339" s="1620"/>
      <c r="R339" s="1620"/>
      <c r="S339" s="1620"/>
      <c r="T339" s="1620"/>
      <c r="U339" s="1620"/>
      <c r="V339" s="1620"/>
      <c r="W339" s="1620"/>
      <c r="X339" s="1620"/>
      <c r="Y339" s="1620"/>
      <c r="Z339" s="1620"/>
      <c r="AA339" s="1620"/>
      <c r="AB339" s="1620"/>
      <c r="AC339" s="1620"/>
      <c r="AD339" s="1620"/>
      <c r="AE339" s="1620"/>
      <c r="AF339" s="1620"/>
      <c r="AG339" s="1620"/>
      <c r="AH339" s="1620"/>
      <c r="AI339" s="1620"/>
      <c r="AJ339" s="1620"/>
      <c r="AK339" s="26"/>
      <c r="AL339" s="26"/>
      <c r="AM339" s="26"/>
      <c r="AN339" s="243"/>
    </row>
    <row r="340" spans="1:76" s="4" customFormat="1" ht="12.75" customHeight="1">
      <c r="A340" s="26"/>
      <c r="B340" s="25"/>
      <c r="C340" s="1620"/>
      <c r="D340" s="1620"/>
      <c r="E340" s="1620"/>
      <c r="F340" s="1620"/>
      <c r="G340" s="1620"/>
      <c r="H340" s="1620"/>
      <c r="I340" s="1620"/>
      <c r="J340" s="1620"/>
      <c r="K340" s="1620"/>
      <c r="L340" s="1620"/>
      <c r="M340" s="1620"/>
      <c r="N340" s="1620"/>
      <c r="O340" s="1620"/>
      <c r="P340" s="1620"/>
      <c r="Q340" s="1620"/>
      <c r="R340" s="1620"/>
      <c r="S340" s="1620"/>
      <c r="T340" s="1620"/>
      <c r="U340" s="1620"/>
      <c r="V340" s="1620"/>
      <c r="W340" s="1620"/>
      <c r="X340" s="1620"/>
      <c r="Y340" s="1620"/>
      <c r="Z340" s="1620"/>
      <c r="AA340" s="1620"/>
      <c r="AB340" s="1620"/>
      <c r="AC340" s="1620"/>
      <c r="AD340" s="1620"/>
      <c r="AE340" s="1620"/>
      <c r="AF340" s="1620"/>
      <c r="AG340" s="1620"/>
      <c r="AH340" s="1620"/>
      <c r="AI340" s="1620"/>
      <c r="AJ340" s="1620"/>
      <c r="AK340" s="26"/>
      <c r="AL340" s="26"/>
      <c r="AM340" s="26"/>
      <c r="AN340" s="243"/>
    </row>
    <row r="341" spans="1:76" s="4" customFormat="1" ht="12.75" customHeight="1">
      <c r="A341" s="26"/>
      <c r="B341" s="25"/>
      <c r="C341" s="1620"/>
      <c r="D341" s="1620"/>
      <c r="E341" s="1620"/>
      <c r="F341" s="1620"/>
      <c r="G341" s="1620"/>
      <c r="H341" s="1620"/>
      <c r="I341" s="1620"/>
      <c r="J341" s="1620"/>
      <c r="K341" s="1620"/>
      <c r="L341" s="1620"/>
      <c r="M341" s="1620"/>
      <c r="N341" s="1620"/>
      <c r="O341" s="1620"/>
      <c r="P341" s="1620"/>
      <c r="Q341" s="1620"/>
      <c r="R341" s="1620"/>
      <c r="S341" s="1620"/>
      <c r="T341" s="1620"/>
      <c r="U341" s="1620"/>
      <c r="V341" s="1620"/>
      <c r="W341" s="1620"/>
      <c r="X341" s="1620"/>
      <c r="Y341" s="1620"/>
      <c r="Z341" s="1620"/>
      <c r="AA341" s="1620"/>
      <c r="AB341" s="1620"/>
      <c r="AC341" s="1620"/>
      <c r="AD341" s="1620"/>
      <c r="AE341" s="1620"/>
      <c r="AF341" s="1620"/>
      <c r="AG341" s="1620"/>
      <c r="AH341" s="1620"/>
      <c r="AI341" s="1620"/>
      <c r="AJ341" s="1620"/>
      <c r="AK341" s="26"/>
      <c r="AL341" s="26"/>
      <c r="AM341" s="26"/>
      <c r="AN341" s="243"/>
      <c r="AQ341"/>
    </row>
    <row r="342" spans="1:76" s="4" customFormat="1" ht="12.75" customHeight="1">
      <c r="A342" s="26"/>
      <c r="B342" s="25"/>
      <c r="C342" s="1620"/>
      <c r="D342" s="1620"/>
      <c r="E342" s="1620"/>
      <c r="F342" s="1620"/>
      <c r="G342" s="1620"/>
      <c r="H342" s="1620"/>
      <c r="I342" s="1620"/>
      <c r="J342" s="1620"/>
      <c r="K342" s="1620"/>
      <c r="L342" s="1620"/>
      <c r="M342" s="1620"/>
      <c r="N342" s="1620"/>
      <c r="O342" s="1620"/>
      <c r="P342" s="1620"/>
      <c r="Q342" s="1620"/>
      <c r="R342" s="1620"/>
      <c r="S342" s="1620"/>
      <c r="T342" s="1620"/>
      <c r="U342" s="1620"/>
      <c r="V342" s="1620"/>
      <c r="W342" s="1620"/>
      <c r="X342" s="1620"/>
      <c r="Y342" s="1620"/>
      <c r="Z342" s="1620"/>
      <c r="AA342" s="1620"/>
      <c r="AB342" s="1620"/>
      <c r="AC342" s="1620"/>
      <c r="AD342" s="1620"/>
      <c r="AE342" s="1620"/>
      <c r="AF342" s="1620"/>
      <c r="AG342" s="1620"/>
      <c r="AH342" s="1620"/>
      <c r="AI342" s="1620"/>
      <c r="AJ342" s="1620"/>
      <c r="AK342" s="26"/>
      <c r="AL342" s="26"/>
      <c r="AM342" s="26"/>
      <c r="AN342" s="243"/>
      <c r="AQ342"/>
    </row>
    <row r="343" spans="1:76" s="4" customFormat="1" ht="12.6" customHeight="1">
      <c r="A343" s="26"/>
      <c r="B343" s="25"/>
      <c r="C343" s="1620"/>
      <c r="D343" s="1620"/>
      <c r="E343" s="1620"/>
      <c r="F343" s="1620"/>
      <c r="G343" s="1620"/>
      <c r="H343" s="1620"/>
      <c r="I343" s="1620"/>
      <c r="J343" s="1620"/>
      <c r="K343" s="1620"/>
      <c r="L343" s="1620"/>
      <c r="M343" s="1620"/>
      <c r="N343" s="1620"/>
      <c r="O343" s="1620"/>
      <c r="P343" s="1620"/>
      <c r="Q343" s="1620"/>
      <c r="R343" s="1620"/>
      <c r="S343" s="1620"/>
      <c r="T343" s="1620"/>
      <c r="U343" s="1620"/>
      <c r="V343" s="1620"/>
      <c r="W343" s="1620"/>
      <c r="X343" s="1620"/>
      <c r="Y343" s="1620"/>
      <c r="Z343" s="1620"/>
      <c r="AA343" s="1620"/>
      <c r="AB343" s="1620"/>
      <c r="AC343" s="1620"/>
      <c r="AD343" s="1620"/>
      <c r="AE343" s="1620"/>
      <c r="AF343" s="1620"/>
      <c r="AG343" s="1620"/>
      <c r="AH343" s="1620"/>
      <c r="AI343" s="1620"/>
      <c r="AJ343" s="1620"/>
      <c r="AK343" s="26"/>
      <c r="AL343" s="26"/>
      <c r="AM343" s="26"/>
      <c r="AN343" s="243"/>
      <c r="AQ343"/>
      <c r="AR343"/>
    </row>
    <row r="344" spans="1:76" s="4" customFormat="1" ht="12.75" customHeight="1">
      <c r="A344" s="26"/>
      <c r="B344" s="25"/>
      <c r="C344" s="1620" t="s">
        <v>2041</v>
      </c>
      <c r="D344" s="1620"/>
      <c r="E344" s="1620"/>
      <c r="F344" s="1620"/>
      <c r="G344" s="1620"/>
      <c r="H344" s="1620"/>
      <c r="I344" s="1620"/>
      <c r="J344" s="1620"/>
      <c r="K344" s="1620"/>
      <c r="L344" s="1620"/>
      <c r="M344" s="1620"/>
      <c r="N344" s="1620"/>
      <c r="O344" s="1620"/>
      <c r="P344" s="1620"/>
      <c r="Q344" s="1620"/>
      <c r="R344" s="1620"/>
      <c r="S344" s="1620"/>
      <c r="T344" s="1620"/>
      <c r="U344" s="1620"/>
      <c r="V344" s="1620"/>
      <c r="W344" s="1620"/>
      <c r="X344" s="1620"/>
      <c r="Y344" s="1620"/>
      <c r="Z344" s="1620"/>
      <c r="AA344" s="1620"/>
      <c r="AB344" s="1620"/>
      <c r="AC344" s="1620"/>
      <c r="AD344" s="1620"/>
      <c r="AE344" s="1620"/>
      <c r="AF344" s="1620"/>
      <c r="AG344" s="1620"/>
      <c r="AH344" s="1620"/>
      <c r="AI344" s="1620"/>
      <c r="AJ344" s="1620"/>
      <c r="AK344" s="26"/>
      <c r="AL344" s="26"/>
      <c r="AM344" s="26"/>
      <c r="AN344" s="243"/>
      <c r="AQ344"/>
      <c r="AR344"/>
    </row>
    <row r="345" spans="1:76" s="4" customFormat="1" ht="12.75" customHeight="1">
      <c r="A345" s="26"/>
      <c r="B345" s="25"/>
      <c r="C345" s="1620"/>
      <c r="D345" s="1620"/>
      <c r="E345" s="1620"/>
      <c r="F345" s="1620"/>
      <c r="G345" s="1620"/>
      <c r="H345" s="1620"/>
      <c r="I345" s="1620"/>
      <c r="J345" s="1620"/>
      <c r="K345" s="1620"/>
      <c r="L345" s="1620"/>
      <c r="M345" s="1620"/>
      <c r="N345" s="1620"/>
      <c r="O345" s="1620"/>
      <c r="P345" s="1620"/>
      <c r="Q345" s="1620"/>
      <c r="R345" s="1620"/>
      <c r="S345" s="1620"/>
      <c r="T345" s="1620"/>
      <c r="U345" s="1620"/>
      <c r="V345" s="1620"/>
      <c r="W345" s="1620"/>
      <c r="X345" s="1620"/>
      <c r="Y345" s="1620"/>
      <c r="Z345" s="1620"/>
      <c r="AA345" s="1620"/>
      <c r="AB345" s="1620"/>
      <c r="AC345" s="1620"/>
      <c r="AD345" s="1620"/>
      <c r="AE345" s="1620"/>
      <c r="AF345" s="1620"/>
      <c r="AG345" s="1620"/>
      <c r="AH345" s="1620"/>
      <c r="AI345" s="1620"/>
      <c r="AJ345" s="1620"/>
      <c r="AK345" s="26"/>
      <c r="AL345" s="26"/>
      <c r="AM345" s="26"/>
      <c r="AN345" s="243"/>
      <c r="AR345"/>
    </row>
    <row r="346" spans="1:76" s="4" customFormat="1" ht="12.75" customHeight="1">
      <c r="A346" s="26"/>
      <c r="B346" s="25"/>
      <c r="C346" s="1620"/>
      <c r="D346" s="1620"/>
      <c r="E346" s="1620"/>
      <c r="F346" s="1620"/>
      <c r="G346" s="1620"/>
      <c r="H346" s="1620"/>
      <c r="I346" s="1620"/>
      <c r="J346" s="1620"/>
      <c r="K346" s="1620"/>
      <c r="L346" s="1620"/>
      <c r="M346" s="1620"/>
      <c r="N346" s="1620"/>
      <c r="O346" s="1620"/>
      <c r="P346" s="1620"/>
      <c r="Q346" s="1620"/>
      <c r="R346" s="1620"/>
      <c r="S346" s="1620"/>
      <c r="T346" s="1620"/>
      <c r="U346" s="1620"/>
      <c r="V346" s="1620"/>
      <c r="W346" s="1620"/>
      <c r="X346" s="1620"/>
      <c r="Y346" s="1620"/>
      <c r="Z346" s="1620"/>
      <c r="AA346" s="1620"/>
      <c r="AB346" s="1620"/>
      <c r="AC346" s="1620"/>
      <c r="AD346" s="1620"/>
      <c r="AE346" s="1620"/>
      <c r="AF346" s="1620"/>
      <c r="AG346" s="1620"/>
      <c r="AH346" s="1620"/>
      <c r="AI346" s="1620"/>
      <c r="AJ346" s="1620"/>
      <c r="AK346" s="26"/>
      <c r="AL346" s="26"/>
      <c r="AM346" s="26"/>
      <c r="AN346" s="243"/>
      <c r="AR346"/>
    </row>
    <row r="347" spans="1:76" s="4" customFormat="1" ht="12.75" customHeight="1">
      <c r="A347" s="26"/>
      <c r="B347" s="25"/>
      <c r="C347" s="1620" t="s">
        <v>2042</v>
      </c>
      <c r="D347" s="1620"/>
      <c r="E347" s="1620"/>
      <c r="F347" s="1620"/>
      <c r="G347" s="1620"/>
      <c r="H347" s="1620"/>
      <c r="I347" s="1620"/>
      <c r="J347" s="1620"/>
      <c r="K347" s="1620"/>
      <c r="L347" s="1620"/>
      <c r="M347" s="1620"/>
      <c r="N347" s="1620"/>
      <c r="O347" s="1620"/>
      <c r="P347" s="1620"/>
      <c r="Q347" s="1620"/>
      <c r="R347" s="1620"/>
      <c r="S347" s="1620"/>
      <c r="T347" s="1620"/>
      <c r="U347" s="1620"/>
      <c r="V347" s="1620"/>
      <c r="W347" s="1620"/>
      <c r="X347" s="1620"/>
      <c r="Y347" s="1620"/>
      <c r="Z347" s="1620"/>
      <c r="AA347" s="1620"/>
      <c r="AB347" s="1620"/>
      <c r="AC347" s="1620"/>
      <c r="AD347" s="1620"/>
      <c r="AE347" s="1620"/>
      <c r="AF347" s="1620"/>
      <c r="AG347" s="1620"/>
      <c r="AH347" s="1620"/>
      <c r="AI347" s="1620"/>
      <c r="AJ347" s="1620"/>
      <c r="AK347" s="26"/>
      <c r="AL347" s="26"/>
      <c r="AM347" s="26"/>
      <c r="AN347" s="243"/>
      <c r="AQ347"/>
      <c r="AR347"/>
    </row>
    <row r="348" spans="1:76" s="4" customFormat="1" ht="12.75" customHeight="1">
      <c r="A348" s="26"/>
      <c r="B348" s="25"/>
      <c r="C348" s="1620"/>
      <c r="D348" s="1620"/>
      <c r="E348" s="1620"/>
      <c r="F348" s="1620"/>
      <c r="G348" s="1620"/>
      <c r="H348" s="1620"/>
      <c r="I348" s="1620"/>
      <c r="J348" s="1620"/>
      <c r="K348" s="1620"/>
      <c r="L348" s="1620"/>
      <c r="M348" s="1620"/>
      <c r="N348" s="1620"/>
      <c r="O348" s="1620"/>
      <c r="P348" s="1620"/>
      <c r="Q348" s="1620"/>
      <c r="R348" s="1620"/>
      <c r="S348" s="1620"/>
      <c r="T348" s="1620"/>
      <c r="U348" s="1620"/>
      <c r="V348" s="1620"/>
      <c r="W348" s="1620"/>
      <c r="X348" s="1620"/>
      <c r="Y348" s="1620"/>
      <c r="Z348" s="1620"/>
      <c r="AA348" s="1620"/>
      <c r="AB348" s="1620"/>
      <c r="AC348" s="1620"/>
      <c r="AD348" s="1620"/>
      <c r="AE348" s="1620"/>
      <c r="AF348" s="1620"/>
      <c r="AG348" s="1620"/>
      <c r="AH348" s="1620"/>
      <c r="AI348" s="1620"/>
      <c r="AJ348" s="1620"/>
      <c r="AK348" s="26"/>
      <c r="AL348" s="26"/>
      <c r="AM348" s="26"/>
      <c r="AN348" s="243"/>
      <c r="AQ348"/>
      <c r="AR348"/>
    </row>
    <row r="349" spans="1:76" s="4" customFormat="1" ht="13.35" customHeight="1">
      <c r="A349" s="26"/>
      <c r="B349" s="25"/>
      <c r="C349" s="1620"/>
      <c r="D349" s="1620"/>
      <c r="E349" s="1620"/>
      <c r="F349" s="1620"/>
      <c r="G349" s="1620"/>
      <c r="H349" s="1620"/>
      <c r="I349" s="1620"/>
      <c r="J349" s="1620"/>
      <c r="K349" s="1620"/>
      <c r="L349" s="1620"/>
      <c r="M349" s="1620"/>
      <c r="N349" s="1620"/>
      <c r="O349" s="1620"/>
      <c r="P349" s="1620"/>
      <c r="Q349" s="1620"/>
      <c r="R349" s="1620"/>
      <c r="S349" s="1620"/>
      <c r="T349" s="1620"/>
      <c r="U349" s="1620"/>
      <c r="V349" s="1620"/>
      <c r="W349" s="1620"/>
      <c r="X349" s="1620"/>
      <c r="Y349" s="1620"/>
      <c r="Z349" s="1620"/>
      <c r="AA349" s="1620"/>
      <c r="AB349" s="1620"/>
      <c r="AC349" s="1620"/>
      <c r="AD349" s="1620"/>
      <c r="AE349" s="1620"/>
      <c r="AF349" s="1620"/>
      <c r="AG349" s="1620"/>
      <c r="AH349" s="1620"/>
      <c r="AI349" s="1620"/>
      <c r="AJ349" s="1620"/>
      <c r="AK349" s="26"/>
      <c r="AL349" s="26"/>
      <c r="AM349" s="26"/>
      <c r="AN349" s="243"/>
      <c r="AQ349"/>
      <c r="AR349"/>
    </row>
    <row r="350" spans="1:76" s="4" customFormat="1" ht="12.75" customHeight="1">
      <c r="A350" s="26"/>
      <c r="B350" s="25"/>
      <c r="C350" s="1620"/>
      <c r="D350" s="1620"/>
      <c r="E350" s="1620"/>
      <c r="F350" s="1620"/>
      <c r="G350" s="1620"/>
      <c r="H350" s="1620"/>
      <c r="I350" s="1620"/>
      <c r="J350" s="1620"/>
      <c r="K350" s="1620"/>
      <c r="L350" s="1620"/>
      <c r="M350" s="1620"/>
      <c r="N350" s="1620"/>
      <c r="O350" s="1620"/>
      <c r="P350" s="1620"/>
      <c r="Q350" s="1620"/>
      <c r="R350" s="1620"/>
      <c r="S350" s="1620"/>
      <c r="T350" s="1620"/>
      <c r="U350" s="1620"/>
      <c r="V350" s="1620"/>
      <c r="W350" s="1620"/>
      <c r="X350" s="1620"/>
      <c r="Y350" s="1620"/>
      <c r="Z350" s="1620"/>
      <c r="AA350" s="1620"/>
      <c r="AB350" s="1620"/>
      <c r="AC350" s="1620"/>
      <c r="AD350" s="1620"/>
      <c r="AE350" s="1620"/>
      <c r="AF350" s="1620"/>
      <c r="AG350" s="1620"/>
      <c r="AH350" s="1620"/>
      <c r="AI350" s="1620"/>
      <c r="AJ350" s="1620"/>
      <c r="AK350" s="26"/>
      <c r="AL350" s="26"/>
      <c r="AM350" s="26"/>
      <c r="AN350" s="243"/>
      <c r="AO350" s="148"/>
      <c r="AP350" s="148"/>
      <c r="AQ350"/>
    </row>
    <row r="351" spans="1:76" s="4" customFormat="1" ht="11.85" customHeight="1">
      <c r="A351" s="26"/>
      <c r="B351" s="25"/>
      <c r="C351" s="1620"/>
      <c r="D351" s="1620"/>
      <c r="E351" s="1620"/>
      <c r="F351" s="1620"/>
      <c r="G351" s="1620"/>
      <c r="H351" s="1620"/>
      <c r="I351" s="1620"/>
      <c r="J351" s="1620"/>
      <c r="K351" s="1620"/>
      <c r="L351" s="1620"/>
      <c r="M351" s="1620"/>
      <c r="N351" s="1620"/>
      <c r="O351" s="1620"/>
      <c r="P351" s="1620"/>
      <c r="Q351" s="1620"/>
      <c r="R351" s="1620"/>
      <c r="S351" s="1620"/>
      <c r="T351" s="1620"/>
      <c r="U351" s="1620"/>
      <c r="V351" s="1620"/>
      <c r="W351" s="1620"/>
      <c r="X351" s="1620"/>
      <c r="Y351" s="1620"/>
      <c r="Z351" s="1620"/>
      <c r="AA351" s="1620"/>
      <c r="AB351" s="1620"/>
      <c r="AC351" s="1620"/>
      <c r="AD351" s="1620"/>
      <c r="AE351" s="1620"/>
      <c r="AF351" s="1620"/>
      <c r="AG351" s="1620"/>
      <c r="AH351" s="1620"/>
      <c r="AI351" s="1620"/>
      <c r="AJ351" s="1620"/>
      <c r="AK351" s="26"/>
      <c r="AL351" s="26"/>
      <c r="AM351" s="26"/>
      <c r="AN351" s="243"/>
      <c r="AO351" s="601" t="s">
        <v>14</v>
      </c>
      <c r="AP351" s="63">
        <f>IF(C376="Yes",5,0)</f>
        <v>5</v>
      </c>
      <c r="AS351" s="3" t="s">
        <v>2043</v>
      </c>
    </row>
    <row r="352" spans="1:76" s="4" customFormat="1" ht="12.75" customHeight="1">
      <c r="A352" s="26"/>
      <c r="B352" s="25"/>
      <c r="C352" s="1620"/>
      <c r="D352" s="1620"/>
      <c r="E352" s="1620"/>
      <c r="F352" s="1620"/>
      <c r="G352" s="1620"/>
      <c r="H352" s="1620"/>
      <c r="I352" s="1620"/>
      <c r="J352" s="1620"/>
      <c r="K352" s="1620"/>
      <c r="L352" s="1620"/>
      <c r="M352" s="1620"/>
      <c r="N352" s="1620"/>
      <c r="O352" s="1620"/>
      <c r="P352" s="1620"/>
      <c r="Q352" s="1620"/>
      <c r="R352" s="1620"/>
      <c r="S352" s="1620"/>
      <c r="T352" s="1620"/>
      <c r="U352" s="1620"/>
      <c r="V352" s="1620"/>
      <c r="W352" s="1620"/>
      <c r="X352" s="1620"/>
      <c r="Y352" s="1620"/>
      <c r="Z352" s="1620"/>
      <c r="AA352" s="1620"/>
      <c r="AB352" s="1620"/>
      <c r="AC352" s="1620"/>
      <c r="AD352" s="1620"/>
      <c r="AE352" s="1620"/>
      <c r="AF352" s="1620"/>
      <c r="AG352" s="1620"/>
      <c r="AH352" s="1620"/>
      <c r="AI352" s="1620"/>
      <c r="AJ352" s="1620"/>
      <c r="AK352" s="26"/>
      <c r="AL352" s="26"/>
      <c r="AM352" s="26"/>
      <c r="AN352" s="243"/>
      <c r="AO352" s="601"/>
      <c r="AP352" s="63"/>
      <c r="AS352" s="1769">
        <f>IF(AQ365=0,AQ378,AQ365)</f>
        <v>10</v>
      </c>
      <c r="AT352" s="1769"/>
    </row>
    <row r="353" spans="1:46" s="4" customFormat="1" ht="12.75" customHeight="1">
      <c r="A353" s="26"/>
      <c r="B353" s="25"/>
      <c r="C353" s="1620"/>
      <c r="D353" s="1620"/>
      <c r="E353" s="1620"/>
      <c r="F353" s="1620"/>
      <c r="G353" s="1620"/>
      <c r="H353" s="1620"/>
      <c r="I353" s="1620"/>
      <c r="J353" s="1620"/>
      <c r="K353" s="1620"/>
      <c r="L353" s="1620"/>
      <c r="M353" s="1620"/>
      <c r="N353" s="1620"/>
      <c r="O353" s="1620"/>
      <c r="P353" s="1620"/>
      <c r="Q353" s="1620"/>
      <c r="R353" s="1620"/>
      <c r="S353" s="1620"/>
      <c r="T353" s="1620"/>
      <c r="U353" s="1620"/>
      <c r="V353" s="1620"/>
      <c r="W353" s="1620"/>
      <c r="X353" s="1620"/>
      <c r="Y353" s="1620"/>
      <c r="Z353" s="1620"/>
      <c r="AA353" s="1620"/>
      <c r="AB353" s="1620"/>
      <c r="AC353" s="1620"/>
      <c r="AD353" s="1620"/>
      <c r="AE353" s="1620"/>
      <c r="AF353" s="1620"/>
      <c r="AG353" s="1620"/>
      <c r="AH353" s="1620"/>
      <c r="AI353" s="1620"/>
      <c r="AJ353" s="1620"/>
      <c r="AK353" s="26"/>
      <c r="AL353" s="26"/>
      <c r="AM353" s="26"/>
      <c r="AN353" s="243"/>
      <c r="AO353" s="601" t="s">
        <v>27</v>
      </c>
      <c r="AP353" s="63">
        <f>IF(C386="Yes",5,0)</f>
        <v>5</v>
      </c>
      <c r="AS353" s="3" t="s">
        <v>2044</v>
      </c>
    </row>
    <row r="354" spans="1:46" s="4" customFormat="1" ht="12.75" customHeight="1">
      <c r="A354" s="26"/>
      <c r="B354" s="25"/>
      <c r="C354" s="1620"/>
      <c r="D354" s="1620"/>
      <c r="E354" s="1620"/>
      <c r="F354" s="1620"/>
      <c r="G354" s="1620"/>
      <c r="H354" s="1620"/>
      <c r="I354" s="1620"/>
      <c r="J354" s="1620"/>
      <c r="K354" s="1620"/>
      <c r="L354" s="1620"/>
      <c r="M354" s="1620"/>
      <c r="N354" s="1620"/>
      <c r="O354" s="1620"/>
      <c r="P354" s="1620"/>
      <c r="Q354" s="1620"/>
      <c r="R354" s="1620"/>
      <c r="S354" s="1620"/>
      <c r="T354" s="1620"/>
      <c r="U354" s="1620"/>
      <c r="V354" s="1620"/>
      <c r="W354" s="1620"/>
      <c r="X354" s="1620"/>
      <c r="Y354" s="1620"/>
      <c r="Z354" s="1620"/>
      <c r="AA354" s="1620"/>
      <c r="AB354" s="1620"/>
      <c r="AC354" s="1620"/>
      <c r="AD354" s="1620"/>
      <c r="AE354" s="1620"/>
      <c r="AF354" s="1620"/>
      <c r="AG354" s="1620"/>
      <c r="AH354" s="1620"/>
      <c r="AI354" s="1620"/>
      <c r="AJ354" s="1620"/>
      <c r="AK354" s="26"/>
      <c r="AL354" s="26"/>
      <c r="AM354" s="26"/>
      <c r="AN354" s="243"/>
      <c r="AO354" s="601"/>
      <c r="AP354" s="63"/>
      <c r="AS354" s="1769">
        <f>IF(AND(AQ365&gt;0,AQ378&gt;0),(AQ365+AQ378)/2,0)</f>
        <v>10</v>
      </c>
      <c r="AT354" s="1769"/>
    </row>
    <row r="355" spans="1:46" s="4" customFormat="1" ht="12.75" customHeight="1">
      <c r="A355" s="26"/>
      <c r="B355" s="25"/>
      <c r="C355" s="1620"/>
      <c r="D355" s="1620"/>
      <c r="E355" s="1620"/>
      <c r="F355" s="1620"/>
      <c r="G355" s="1620"/>
      <c r="H355" s="1620"/>
      <c r="I355" s="1620"/>
      <c r="J355" s="1620"/>
      <c r="K355" s="1620"/>
      <c r="L355" s="1620"/>
      <c r="M355" s="1620"/>
      <c r="N355" s="1620"/>
      <c r="O355" s="1620"/>
      <c r="P355" s="1620"/>
      <c r="Q355" s="1620"/>
      <c r="R355" s="1620"/>
      <c r="S355" s="1620"/>
      <c r="T355" s="1620"/>
      <c r="U355" s="1620"/>
      <c r="V355" s="1620"/>
      <c r="W355" s="1620"/>
      <c r="X355" s="1620"/>
      <c r="Y355" s="1620"/>
      <c r="Z355" s="1620"/>
      <c r="AA355" s="1620"/>
      <c r="AB355" s="1620"/>
      <c r="AC355" s="1620"/>
      <c r="AD355" s="1620"/>
      <c r="AE355" s="1620"/>
      <c r="AF355" s="1620"/>
      <c r="AG355" s="1620"/>
      <c r="AH355" s="1620"/>
      <c r="AI355" s="1620"/>
      <c r="AJ355" s="1620"/>
      <c r="AK355" s="26"/>
      <c r="AL355" s="26"/>
      <c r="AM355" s="26"/>
      <c r="AN355" s="243"/>
      <c r="AO355" s="601" t="s">
        <v>33</v>
      </c>
      <c r="AP355" s="63">
        <f>IF(C396="Yes",7,0)</f>
        <v>0</v>
      </c>
    </row>
    <row r="356" spans="1:46" s="4" customFormat="1" ht="12.75" customHeight="1">
      <c r="A356" s="26"/>
      <c r="B356" s="25"/>
      <c r="C356" s="1620" t="s">
        <v>2045</v>
      </c>
      <c r="D356" s="1620"/>
      <c r="E356" s="1620"/>
      <c r="F356" s="1620"/>
      <c r="G356" s="1620"/>
      <c r="H356" s="1620"/>
      <c r="I356" s="1620"/>
      <c r="J356" s="1620"/>
      <c r="K356" s="1620"/>
      <c r="L356" s="1620"/>
      <c r="M356" s="1620"/>
      <c r="N356" s="1620"/>
      <c r="O356" s="1620"/>
      <c r="P356" s="1620"/>
      <c r="Q356" s="1620"/>
      <c r="R356" s="1620"/>
      <c r="S356" s="1620"/>
      <c r="T356" s="1620"/>
      <c r="U356" s="1620"/>
      <c r="V356" s="1620"/>
      <c r="W356" s="1620"/>
      <c r="X356" s="1620"/>
      <c r="Y356" s="1620"/>
      <c r="Z356" s="1620"/>
      <c r="AA356" s="1620"/>
      <c r="AB356" s="1620"/>
      <c r="AC356" s="1620"/>
      <c r="AD356" s="1620"/>
      <c r="AE356" s="1620"/>
      <c r="AF356" s="1620"/>
      <c r="AG356" s="1620"/>
      <c r="AH356" s="1620"/>
      <c r="AI356" s="1620"/>
      <c r="AJ356" s="1620"/>
      <c r="AK356" s="26"/>
      <c r="AL356" s="26"/>
      <c r="AM356" s="26"/>
      <c r="AN356" s="243"/>
      <c r="AO356" s="243"/>
      <c r="AP356" s="63">
        <f>IF(C398="Yes",5,0)</f>
        <v>0</v>
      </c>
    </row>
    <row r="357" spans="1:46" s="4" customFormat="1" ht="12.75" customHeight="1">
      <c r="A357" s="26"/>
      <c r="B357" s="25"/>
      <c r="C357" s="1620"/>
      <c r="D357" s="1620"/>
      <c r="E357" s="1620"/>
      <c r="F357" s="1620"/>
      <c r="G357" s="1620"/>
      <c r="H357" s="1620"/>
      <c r="I357" s="1620"/>
      <c r="J357" s="1620"/>
      <c r="K357" s="1620"/>
      <c r="L357" s="1620"/>
      <c r="M357" s="1620"/>
      <c r="N357" s="1620"/>
      <c r="O357" s="1620"/>
      <c r="P357" s="1620"/>
      <c r="Q357" s="1620"/>
      <c r="R357" s="1620"/>
      <c r="S357" s="1620"/>
      <c r="T357" s="1620"/>
      <c r="U357" s="1620"/>
      <c r="V357" s="1620"/>
      <c r="W357" s="1620"/>
      <c r="X357" s="1620"/>
      <c r="Y357" s="1620"/>
      <c r="Z357" s="1620"/>
      <c r="AA357" s="1620"/>
      <c r="AB357" s="1620"/>
      <c r="AC357" s="1620"/>
      <c r="AD357" s="1620"/>
      <c r="AE357" s="1620"/>
      <c r="AF357" s="1620"/>
      <c r="AG357" s="1620"/>
      <c r="AH357" s="1620"/>
      <c r="AI357" s="1620"/>
      <c r="AJ357" s="1620"/>
      <c r="AK357" s="26"/>
      <c r="AL357" s="26"/>
      <c r="AM357" s="26"/>
      <c r="AN357" s="243"/>
      <c r="AO357" s="243"/>
      <c r="AP357" s="63"/>
    </row>
    <row r="358" spans="1:46" s="4" customFormat="1" ht="12.75" customHeight="1">
      <c r="A358" s="26"/>
      <c r="B358" s="25"/>
      <c r="C358" s="1620"/>
      <c r="D358" s="1620"/>
      <c r="E358" s="1620"/>
      <c r="F358" s="1620"/>
      <c r="G358" s="1620"/>
      <c r="H358" s="1620"/>
      <c r="I358" s="1620"/>
      <c r="J358" s="1620"/>
      <c r="K358" s="1620"/>
      <c r="L358" s="1620"/>
      <c r="M358" s="1620"/>
      <c r="N358" s="1620"/>
      <c r="O358" s="1620"/>
      <c r="P358" s="1620"/>
      <c r="Q358" s="1620"/>
      <c r="R358" s="1620"/>
      <c r="S358" s="1620"/>
      <c r="T358" s="1620"/>
      <c r="U358" s="1620"/>
      <c r="V358" s="1620"/>
      <c r="W358" s="1620"/>
      <c r="X358" s="1620"/>
      <c r="Y358" s="1620"/>
      <c r="Z358" s="1620"/>
      <c r="AA358" s="1620"/>
      <c r="AB358" s="1620"/>
      <c r="AC358" s="1620"/>
      <c r="AD358" s="1620"/>
      <c r="AE358" s="1620"/>
      <c r="AF358" s="1620"/>
      <c r="AG358" s="1620"/>
      <c r="AH358" s="1620"/>
      <c r="AI358" s="1620"/>
      <c r="AJ358" s="1620"/>
      <c r="AK358" s="26"/>
      <c r="AL358" s="26"/>
      <c r="AM358" s="26"/>
      <c r="AN358" s="243"/>
      <c r="AO358" s="601" t="s">
        <v>91</v>
      </c>
      <c r="AP358" s="63">
        <f>IF(C406="Yes",5,0)</f>
        <v>0</v>
      </c>
    </row>
    <row r="359" spans="1:46" s="4" customFormat="1" ht="11.85" customHeight="1">
      <c r="A359" s="26"/>
      <c r="B359" s="25"/>
      <c r="C359" s="1620"/>
      <c r="D359" s="1620"/>
      <c r="E359" s="1620"/>
      <c r="F359" s="1620"/>
      <c r="G359" s="1620"/>
      <c r="H359" s="1620"/>
      <c r="I359" s="1620"/>
      <c r="J359" s="1620"/>
      <c r="K359" s="1620"/>
      <c r="L359" s="1620"/>
      <c r="M359" s="1620"/>
      <c r="N359" s="1620"/>
      <c r="O359" s="1620"/>
      <c r="P359" s="1620"/>
      <c r="Q359" s="1620"/>
      <c r="R359" s="1620"/>
      <c r="S359" s="1620"/>
      <c r="T359" s="1620"/>
      <c r="U359" s="1620"/>
      <c r="V359" s="1620"/>
      <c r="W359" s="1620"/>
      <c r="X359" s="1620"/>
      <c r="Y359" s="1620"/>
      <c r="Z359" s="1620"/>
      <c r="AA359" s="1620"/>
      <c r="AB359" s="1620"/>
      <c r="AC359" s="1620"/>
      <c r="AD359" s="1620"/>
      <c r="AE359" s="1620"/>
      <c r="AF359" s="1620"/>
      <c r="AG359" s="1620"/>
      <c r="AH359" s="1620"/>
      <c r="AI359" s="1620"/>
      <c r="AJ359" s="1620"/>
      <c r="AK359" s="26"/>
      <c r="AL359" s="26"/>
      <c r="AM359" s="26"/>
      <c r="AN359" s="243"/>
      <c r="AO359" s="243"/>
      <c r="AP359" s="63">
        <f>IF(C408="Yes",3,0)</f>
        <v>0</v>
      </c>
    </row>
    <row r="360" spans="1:46" s="4" customFormat="1" ht="12.6" customHeight="1">
      <c r="A360" s="26"/>
      <c r="B360" s="25"/>
      <c r="C360" s="1620"/>
      <c r="D360" s="1620"/>
      <c r="E360" s="1620"/>
      <c r="F360" s="1620"/>
      <c r="G360" s="1620"/>
      <c r="H360" s="1620"/>
      <c r="I360" s="1620"/>
      <c r="J360" s="1620"/>
      <c r="K360" s="1620"/>
      <c r="L360" s="1620"/>
      <c r="M360" s="1620"/>
      <c r="N360" s="1620"/>
      <c r="O360" s="1620"/>
      <c r="P360" s="1620"/>
      <c r="Q360" s="1620"/>
      <c r="R360" s="1620"/>
      <c r="S360" s="1620"/>
      <c r="T360" s="1620"/>
      <c r="U360" s="1620"/>
      <c r="V360" s="1620"/>
      <c r="W360" s="1620"/>
      <c r="X360" s="1620"/>
      <c r="Y360" s="1620"/>
      <c r="Z360" s="1620"/>
      <c r="AA360" s="1620"/>
      <c r="AB360" s="1620"/>
      <c r="AC360" s="1620"/>
      <c r="AD360" s="1620"/>
      <c r="AE360" s="1620"/>
      <c r="AF360" s="1620"/>
      <c r="AG360" s="1620"/>
      <c r="AH360" s="1620"/>
      <c r="AI360" s="1620"/>
      <c r="AJ360" s="1620"/>
      <c r="AK360" s="26"/>
      <c r="AL360" s="26"/>
      <c r="AM360" s="26"/>
      <c r="AN360" s="243"/>
      <c r="AO360" s="243"/>
      <c r="AP360" s="63"/>
    </row>
    <row r="361" spans="1:46" s="4" customFormat="1" ht="12.75" customHeight="1">
      <c r="A361" s="26"/>
      <c r="B361" s="25"/>
      <c r="C361" s="1620"/>
      <c r="D361" s="1620"/>
      <c r="E361" s="1620"/>
      <c r="F361" s="1620"/>
      <c r="G361" s="1620"/>
      <c r="H361" s="1620"/>
      <c r="I361" s="1620"/>
      <c r="J361" s="1620"/>
      <c r="K361" s="1620"/>
      <c r="L361" s="1620"/>
      <c r="M361" s="1620"/>
      <c r="N361" s="1620"/>
      <c r="O361" s="1620"/>
      <c r="P361" s="1620"/>
      <c r="Q361" s="1620"/>
      <c r="R361" s="1620"/>
      <c r="S361" s="1620"/>
      <c r="T361" s="1620"/>
      <c r="U361" s="1620"/>
      <c r="V361" s="1620"/>
      <c r="W361" s="1620"/>
      <c r="X361" s="1620"/>
      <c r="Y361" s="1620"/>
      <c r="Z361" s="1620"/>
      <c r="AA361" s="1620"/>
      <c r="AB361" s="1620"/>
      <c r="AC361" s="1620"/>
      <c r="AD361" s="1620"/>
      <c r="AE361" s="1620"/>
      <c r="AF361" s="1620"/>
      <c r="AG361" s="1620"/>
      <c r="AH361" s="1620"/>
      <c r="AI361" s="1620"/>
      <c r="AJ361" s="1620"/>
      <c r="AK361" s="26"/>
      <c r="AL361" s="26"/>
      <c r="AM361" s="26"/>
      <c r="AN361" s="243"/>
      <c r="AO361" s="601" t="s">
        <v>95</v>
      </c>
      <c r="AP361" s="63">
        <f>IF(C411="Yes",5,0)</f>
        <v>0</v>
      </c>
    </row>
    <row r="362" spans="1:46" s="4" customFormat="1" ht="12.75" customHeight="1">
      <c r="A362" s="26"/>
      <c r="B362" s="25"/>
      <c r="C362" s="1620"/>
      <c r="D362" s="1620"/>
      <c r="E362" s="1620"/>
      <c r="F362" s="1620"/>
      <c r="G362" s="1620"/>
      <c r="H362" s="1620"/>
      <c r="I362" s="1620"/>
      <c r="J362" s="1620"/>
      <c r="K362" s="1620"/>
      <c r="L362" s="1620"/>
      <c r="M362" s="1620"/>
      <c r="N362" s="1620"/>
      <c r="O362" s="1620"/>
      <c r="P362" s="1620"/>
      <c r="Q362" s="1620"/>
      <c r="R362" s="1620"/>
      <c r="S362" s="1620"/>
      <c r="T362" s="1620"/>
      <c r="U362" s="1620"/>
      <c r="V362" s="1620"/>
      <c r="W362" s="1620"/>
      <c r="X362" s="1620"/>
      <c r="Y362" s="1620"/>
      <c r="Z362" s="1620"/>
      <c r="AA362" s="1620"/>
      <c r="AB362" s="1620"/>
      <c r="AC362" s="1620"/>
      <c r="AD362" s="1620"/>
      <c r="AE362" s="1620"/>
      <c r="AF362" s="1620"/>
      <c r="AG362" s="1620"/>
      <c r="AH362" s="1620"/>
      <c r="AI362" s="1620"/>
      <c r="AJ362" s="1620"/>
      <c r="AK362" s="26"/>
      <c r="AL362" s="26"/>
      <c r="AM362" s="26"/>
      <c r="AN362" s="243"/>
      <c r="AO362" s="601" t="s">
        <v>1377</v>
      </c>
      <c r="AP362" s="63">
        <f>IF(C420="Yes",5,0)</f>
        <v>0</v>
      </c>
    </row>
    <row r="363" spans="1:46" s="4" customFormat="1" ht="12.75" customHeight="1">
      <c r="A363" s="26"/>
      <c r="B363" s="25"/>
      <c r="C363" s="1620" t="s">
        <v>2046</v>
      </c>
      <c r="D363" s="1620"/>
      <c r="E363" s="1620"/>
      <c r="F363" s="1620"/>
      <c r="G363" s="1620"/>
      <c r="H363" s="1620"/>
      <c r="I363" s="1620"/>
      <c r="J363" s="1620"/>
      <c r="K363" s="1620"/>
      <c r="L363" s="1620"/>
      <c r="M363" s="1620"/>
      <c r="N363" s="1620"/>
      <c r="O363" s="1620"/>
      <c r="P363" s="1620"/>
      <c r="Q363" s="1620"/>
      <c r="R363" s="1620"/>
      <c r="S363" s="1620"/>
      <c r="T363" s="1620"/>
      <c r="U363" s="1620"/>
      <c r="V363" s="1620"/>
      <c r="W363" s="1620"/>
      <c r="X363" s="1620"/>
      <c r="Y363" s="1620"/>
      <c r="Z363" s="1620"/>
      <c r="AA363" s="1620"/>
      <c r="AB363" s="1620"/>
      <c r="AC363" s="1620"/>
      <c r="AD363" s="1620"/>
      <c r="AE363" s="1620"/>
      <c r="AF363" s="1620"/>
      <c r="AG363" s="1620"/>
      <c r="AH363" s="1620"/>
      <c r="AI363" s="1620"/>
      <c r="AJ363" s="1620"/>
      <c r="AK363" s="26"/>
      <c r="AL363" s="26"/>
      <c r="AM363" s="26"/>
      <c r="AN363" s="243"/>
      <c r="AO363" s="243"/>
      <c r="AP363" s="63">
        <f>IF(C422="Yes",3,0)</f>
        <v>0</v>
      </c>
    </row>
    <row r="364" spans="1:46" s="4" customFormat="1" ht="12.75" customHeight="1">
      <c r="A364" s="26"/>
      <c r="B364" s="25"/>
      <c r="C364" s="1620"/>
      <c r="D364" s="1620"/>
      <c r="E364" s="1620"/>
      <c r="F364" s="1620"/>
      <c r="G364" s="1620"/>
      <c r="H364" s="1620"/>
      <c r="I364" s="1620"/>
      <c r="J364" s="1620"/>
      <c r="K364" s="1620"/>
      <c r="L364" s="1620"/>
      <c r="M364" s="1620"/>
      <c r="N364" s="1620"/>
      <c r="O364" s="1620"/>
      <c r="P364" s="1620"/>
      <c r="Q364" s="1620"/>
      <c r="R364" s="1620"/>
      <c r="S364" s="1620"/>
      <c r="T364" s="1620"/>
      <c r="U364" s="1620"/>
      <c r="V364" s="1620"/>
      <c r="W364" s="1620"/>
      <c r="X364" s="1620"/>
      <c r="Y364" s="1620"/>
      <c r="Z364" s="1620"/>
      <c r="AA364" s="1620"/>
      <c r="AB364" s="1620"/>
      <c r="AC364" s="1620"/>
      <c r="AD364" s="1620"/>
      <c r="AE364" s="1620"/>
      <c r="AF364" s="1620"/>
      <c r="AG364" s="1620"/>
      <c r="AH364" s="1620"/>
      <c r="AI364" s="1620"/>
      <c r="AJ364" s="1620"/>
      <c r="AK364" s="26"/>
      <c r="AL364" s="26"/>
      <c r="AM364" s="26"/>
      <c r="AN364" s="243"/>
      <c r="AO364" s="602"/>
      <c r="AP364" s="48"/>
    </row>
    <row r="365" spans="1:46" s="4" customFormat="1" ht="68.099999999999994" customHeight="1">
      <c r="A365" s="26"/>
      <c r="B365" s="25"/>
      <c r="C365" s="1620"/>
      <c r="D365" s="1620"/>
      <c r="E365" s="1620"/>
      <c r="F365" s="1620"/>
      <c r="G365" s="1620"/>
      <c r="H365" s="1620"/>
      <c r="I365" s="1620"/>
      <c r="J365" s="1620"/>
      <c r="K365" s="1620"/>
      <c r="L365" s="1620"/>
      <c r="M365" s="1620"/>
      <c r="N365" s="1620"/>
      <c r="O365" s="1620"/>
      <c r="P365" s="1620"/>
      <c r="Q365" s="1620"/>
      <c r="R365" s="1620"/>
      <c r="S365" s="1620"/>
      <c r="T365" s="1620"/>
      <c r="U365" s="1620"/>
      <c r="V365" s="1620"/>
      <c r="W365" s="1620"/>
      <c r="X365" s="1620"/>
      <c r="Y365" s="1620"/>
      <c r="Z365" s="1620"/>
      <c r="AA365" s="1620"/>
      <c r="AB365" s="1620"/>
      <c r="AC365" s="1620"/>
      <c r="AD365" s="1620"/>
      <c r="AE365" s="1620"/>
      <c r="AF365" s="1620"/>
      <c r="AG365" s="1620"/>
      <c r="AH365" s="1620"/>
      <c r="AI365" s="1620"/>
      <c r="AJ365" s="1620"/>
      <c r="AK365" s="26"/>
      <c r="AL365" s="26"/>
      <c r="AM365" s="26"/>
      <c r="AN365" s="243"/>
      <c r="AO365" s="603" t="s">
        <v>1596</v>
      </c>
      <c r="AP365" s="146">
        <f>SUM(AP351:AP364)</f>
        <v>10</v>
      </c>
      <c r="AQ365" s="1177">
        <f>IF(AP365&gt;0,AP365,0)</f>
        <v>10</v>
      </c>
      <c r="AR365" s="1177"/>
    </row>
    <row r="366" spans="1:46" s="4" customFormat="1" ht="12.6" customHeight="1">
      <c r="A366" s="26"/>
      <c r="B366" s="25"/>
      <c r="C366" s="4" t="s">
        <v>2047</v>
      </c>
      <c r="AF366" s="26"/>
      <c r="AG366" s="26"/>
      <c r="AH366" s="26"/>
      <c r="AI366" s="26"/>
      <c r="AJ366" s="26"/>
      <c r="AK366" s="26"/>
      <c r="AL366" s="26"/>
      <c r="AM366" s="26"/>
      <c r="AN366" s="243"/>
      <c r="AO366" s="601" t="s">
        <v>1378</v>
      </c>
      <c r="AP366" s="63">
        <f>IF(C429="Yes",5,0)</f>
        <v>5</v>
      </c>
    </row>
    <row r="367" spans="1:46" s="4" customFormat="1" ht="12.75" customHeight="1">
      <c r="A367" s="26"/>
      <c r="B367" s="25"/>
      <c r="C367" s="604" t="s">
        <v>2048</v>
      </c>
      <c r="D367" s="605"/>
      <c r="E367" s="605"/>
      <c r="F367" s="605"/>
      <c r="G367" s="605"/>
      <c r="H367" s="605"/>
      <c r="I367" s="605"/>
      <c r="J367" s="605"/>
      <c r="K367" s="605"/>
      <c r="L367" s="605"/>
      <c r="M367" s="184"/>
      <c r="N367" s="184"/>
      <c r="O367" s="606"/>
      <c r="P367" s="605"/>
      <c r="Q367" s="605"/>
      <c r="R367" s="184"/>
      <c r="S367" s="184"/>
      <c r="T367" s="605"/>
      <c r="U367" s="1610">
        <f>Application!CQ636-U368</f>
        <v>21</v>
      </c>
      <c r="V367" s="1610"/>
      <c r="W367" s="1610"/>
      <c r="X367" s="605"/>
      <c r="Y367" s="605"/>
      <c r="Z367" s="605"/>
      <c r="AA367" s="607"/>
      <c r="AB367" s="240"/>
      <c r="AC367" s="240"/>
      <c r="AD367" s="240"/>
      <c r="AE367" s="26"/>
      <c r="AF367" s="26"/>
      <c r="AG367" s="26"/>
      <c r="AH367" s="26"/>
      <c r="AI367" s="26"/>
      <c r="AJ367" s="26"/>
      <c r="AK367" s="26"/>
      <c r="AL367" s="26"/>
      <c r="AM367" s="26"/>
      <c r="AN367" s="243"/>
      <c r="AO367" s="243"/>
      <c r="AP367" s="63"/>
    </row>
    <row r="368" spans="1:46" s="4" customFormat="1" ht="12.75" customHeight="1">
      <c r="A368" s="26"/>
      <c r="B368" s="25"/>
      <c r="C368" s="608" t="s">
        <v>2049</v>
      </c>
      <c r="D368" s="148"/>
      <c r="E368" s="148"/>
      <c r="F368" s="148"/>
      <c r="G368" s="148"/>
      <c r="H368" s="148"/>
      <c r="I368" s="148"/>
      <c r="J368" s="148"/>
      <c r="K368" s="148"/>
      <c r="L368" s="148"/>
      <c r="M368" s="148"/>
      <c r="N368" s="148"/>
      <c r="O368" s="148"/>
      <c r="P368" s="148"/>
      <c r="Q368" s="148"/>
      <c r="R368" s="148"/>
      <c r="S368" s="148"/>
      <c r="T368" s="148"/>
      <c r="U368" s="1611">
        <f>Application!AG720</f>
        <v>22</v>
      </c>
      <c r="V368" s="1611"/>
      <c r="W368" s="1611"/>
      <c r="X368" s="148"/>
      <c r="Y368" s="148"/>
      <c r="Z368" s="148"/>
      <c r="AA368" s="150"/>
      <c r="AC368" s="239"/>
      <c r="AD368" s="239"/>
      <c r="AE368" s="26"/>
      <c r="AF368" s="26"/>
      <c r="AG368" s="26"/>
      <c r="AH368" s="26"/>
      <c r="AI368" s="26"/>
      <c r="AJ368" s="26"/>
      <c r="AK368" s="26"/>
      <c r="AL368" s="26"/>
      <c r="AM368" s="26"/>
      <c r="AN368" s="243"/>
      <c r="AO368" s="601" t="s">
        <v>1379</v>
      </c>
      <c r="AP368" s="63">
        <f>IF(C441="Yes",5,0)</f>
        <v>5</v>
      </c>
    </row>
    <row r="369" spans="1:153" s="4" customFormat="1" ht="12.75" customHeight="1">
      <c r="A369" s="26"/>
      <c r="B369" s="25"/>
      <c r="C369" s="4" t="s">
        <v>2050</v>
      </c>
      <c r="AC369" s="26"/>
      <c r="AD369" s="26"/>
      <c r="AE369" s="26"/>
      <c r="AF369" s="26"/>
      <c r="AG369" s="26"/>
      <c r="AH369" s="26"/>
      <c r="AI369" s="26"/>
      <c r="AJ369" s="26"/>
      <c r="AK369" s="26"/>
      <c r="AL369" s="26"/>
      <c r="AM369" s="26"/>
      <c r="AN369" s="243"/>
      <c r="AO369" s="243"/>
      <c r="AP369" s="63"/>
    </row>
    <row r="370" spans="1:153" s="4" customFormat="1" ht="12.75" customHeight="1">
      <c r="A370" s="26"/>
      <c r="B370" s="25"/>
      <c r="AC370" s="26"/>
      <c r="AD370" s="26"/>
      <c r="AE370" s="26"/>
      <c r="AF370" s="26"/>
      <c r="AG370" s="26"/>
      <c r="AH370" s="26"/>
      <c r="AI370" s="26"/>
      <c r="AJ370" s="26"/>
      <c r="AK370" s="26"/>
      <c r="AL370" s="26"/>
      <c r="AM370" s="26"/>
      <c r="AN370" s="243"/>
      <c r="AO370" s="601" t="s">
        <v>1380</v>
      </c>
      <c r="AP370" s="63">
        <f>IF(C448="Yes",5,0)</f>
        <v>0</v>
      </c>
      <c r="BS370" s="34"/>
      <c r="BT370" s="34"/>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6"/>
      <c r="B371" s="21"/>
      <c r="C371" s="160" t="s">
        <v>2051</v>
      </c>
      <c r="D371" s="26"/>
      <c r="E371" s="26"/>
      <c r="F371" s="26"/>
      <c r="G371" s="26"/>
      <c r="H371" s="26"/>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43"/>
      <c r="AO371" s="243"/>
      <c r="AP371" s="63"/>
      <c r="BS371" s="34"/>
      <c r="BT371" s="34"/>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37"/>
      <c r="B372" s="21"/>
      <c r="C372" s="609"/>
      <c r="D372" s="610"/>
      <c r="E372" s="611" t="s">
        <v>2052</v>
      </c>
      <c r="F372" s="1608" t="s">
        <v>2053</v>
      </c>
      <c r="G372" s="1608"/>
      <c r="H372" s="1608"/>
      <c r="I372" s="1608"/>
      <c r="J372" s="1608"/>
      <c r="K372" s="1608"/>
      <c r="L372" s="1608"/>
      <c r="M372" s="1608"/>
      <c r="N372" s="1608"/>
      <c r="O372" s="1608"/>
      <c r="P372" s="1608"/>
      <c r="Q372" s="1608"/>
      <c r="R372" s="1608"/>
      <c r="S372" s="1608"/>
      <c r="T372" s="1608"/>
      <c r="U372" s="1608"/>
      <c r="V372" s="1608"/>
      <c r="W372" s="1608"/>
      <c r="X372" s="1608"/>
      <c r="Y372" s="1608"/>
      <c r="Z372" s="1608"/>
      <c r="AA372" s="1608"/>
      <c r="AB372" s="1608"/>
      <c r="AC372" s="1608"/>
      <c r="AD372" s="1608"/>
      <c r="AE372" s="1608"/>
      <c r="AF372" s="1608"/>
      <c r="AG372" s="650"/>
      <c r="AH372" s="650"/>
      <c r="AI372" s="650"/>
      <c r="AJ372" s="650"/>
      <c r="AK372" s="650"/>
      <c r="AL372" s="693"/>
      <c r="AM372"/>
      <c r="AN372" s="243"/>
      <c r="AO372" s="243"/>
      <c r="AP372" s="63"/>
      <c r="BS372" s="34"/>
      <c r="BT372" s="34"/>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7"/>
      <c r="B373" s="21"/>
      <c r="C373" s="915"/>
      <c r="D373" s="37"/>
      <c r="E373" s="191"/>
      <c r="F373" s="1582"/>
      <c r="G373" s="1582"/>
      <c r="H373" s="1582"/>
      <c r="I373" s="1582"/>
      <c r="J373" s="1582"/>
      <c r="K373" s="1582"/>
      <c r="L373" s="1582"/>
      <c r="M373" s="1582"/>
      <c r="N373" s="1582"/>
      <c r="O373" s="1582"/>
      <c r="P373" s="1582"/>
      <c r="Q373" s="1582"/>
      <c r="R373" s="1582"/>
      <c r="S373" s="1582"/>
      <c r="T373" s="1582"/>
      <c r="U373" s="1582"/>
      <c r="V373" s="1582"/>
      <c r="W373" s="1582"/>
      <c r="X373" s="1582"/>
      <c r="Y373" s="1582"/>
      <c r="Z373" s="1582"/>
      <c r="AA373" s="1582"/>
      <c r="AB373" s="1582"/>
      <c r="AC373" s="1582"/>
      <c r="AD373" s="1582"/>
      <c r="AE373" s="1582"/>
      <c r="AF373" s="1582"/>
      <c r="AG373" s="3"/>
      <c r="AH373" s="3"/>
      <c r="AI373" s="3"/>
      <c r="AJ373" s="3"/>
      <c r="AK373" s="3"/>
      <c r="AL373" s="689"/>
      <c r="AM373"/>
      <c r="AN373" s="243"/>
      <c r="AO373" s="601" t="s">
        <v>1381</v>
      </c>
      <c r="AP373" s="63">
        <f>IF(C452="Yes",5,0)</f>
        <v>0</v>
      </c>
      <c r="BS373" s="34"/>
      <c r="BT373" s="34"/>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7"/>
      <c r="B374" s="21"/>
      <c r="C374" s="915"/>
      <c r="D374" s="37"/>
      <c r="E374" s="191"/>
      <c r="F374" s="1582"/>
      <c r="G374" s="1582"/>
      <c r="H374" s="1582"/>
      <c r="I374" s="1582"/>
      <c r="J374" s="1582"/>
      <c r="K374" s="1582"/>
      <c r="L374" s="1582"/>
      <c r="M374" s="1582"/>
      <c r="N374" s="1582"/>
      <c r="O374" s="1582"/>
      <c r="P374" s="1582"/>
      <c r="Q374" s="1582"/>
      <c r="R374" s="1582"/>
      <c r="S374" s="1582"/>
      <c r="T374" s="1582"/>
      <c r="U374" s="1582"/>
      <c r="V374" s="1582"/>
      <c r="W374" s="1582"/>
      <c r="X374" s="1582"/>
      <c r="Y374" s="1582"/>
      <c r="Z374" s="1582"/>
      <c r="AA374" s="1582"/>
      <c r="AB374" s="1582"/>
      <c r="AC374" s="1582"/>
      <c r="AD374" s="1582"/>
      <c r="AE374" s="1582"/>
      <c r="AF374" s="1582"/>
      <c r="AG374" s="3"/>
      <c r="AH374" s="3"/>
      <c r="AI374" s="3"/>
      <c r="AJ374" s="3"/>
      <c r="AK374" s="3"/>
      <c r="AL374" s="689"/>
      <c r="AM374"/>
      <c r="AN374" s="243"/>
      <c r="AO374" s="601" t="s">
        <v>1382</v>
      </c>
      <c r="AP374" s="63">
        <f>IF(C456="Yes",5,0)</f>
        <v>0</v>
      </c>
      <c r="BS374" s="34"/>
      <c r="BT374" s="34"/>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7"/>
      <c r="B375" s="21"/>
      <c r="C375" s="915"/>
      <c r="D375" s="37"/>
      <c r="E375" s="191"/>
      <c r="F375" s="1582"/>
      <c r="G375" s="1582"/>
      <c r="H375" s="1582"/>
      <c r="I375" s="1582"/>
      <c r="J375" s="1582"/>
      <c r="K375" s="1582"/>
      <c r="L375" s="1582"/>
      <c r="M375" s="1582"/>
      <c r="N375" s="1582"/>
      <c r="O375" s="1582"/>
      <c r="P375" s="1582"/>
      <c r="Q375" s="1582"/>
      <c r="R375" s="1582"/>
      <c r="S375" s="1582"/>
      <c r="T375" s="1582"/>
      <c r="U375" s="1582"/>
      <c r="V375" s="1582"/>
      <c r="W375" s="1582"/>
      <c r="X375" s="1582"/>
      <c r="Y375" s="1582"/>
      <c r="Z375" s="1582"/>
      <c r="AA375" s="1582"/>
      <c r="AB375" s="1582"/>
      <c r="AC375" s="1582"/>
      <c r="AD375" s="1582"/>
      <c r="AE375" s="1582"/>
      <c r="AF375" s="1582"/>
      <c r="AG375" s="3"/>
      <c r="AH375" s="3"/>
      <c r="AI375" s="3"/>
      <c r="AJ375" s="3"/>
      <c r="AK375" s="3"/>
      <c r="AL375" s="689"/>
      <c r="AM375"/>
      <c r="AN375" s="243"/>
      <c r="AO375" s="601" t="s">
        <v>1383</v>
      </c>
      <c r="AP375" s="63">
        <f>IF(C465="Yes",5,0)</f>
        <v>0</v>
      </c>
      <c r="BS375" s="34"/>
      <c r="BT375" s="34"/>
      <c r="BU375" s="21"/>
      <c r="BV375" s="21"/>
      <c r="BW375" s="21"/>
      <c r="BX375" s="21"/>
      <c r="BY375" s="21"/>
      <c r="BZ375" s="21"/>
      <c r="CA375" s="21"/>
      <c r="CB375" s="21"/>
      <c r="CC375" s="21"/>
      <c r="CD375" s="21"/>
      <c r="CE375" s="21"/>
      <c r="CF375" s="21"/>
      <c r="CG375" s="21"/>
      <c r="CH375" s="21"/>
      <c r="CI375" s="36"/>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1612" t="s">
        <v>826</v>
      </c>
      <c r="D376" s="1069"/>
      <c r="E376" s="191"/>
      <c r="F376" s="286" t="s">
        <v>2054</v>
      </c>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F376" s="1513" t="s">
        <v>2055</v>
      </c>
      <c r="AG376" s="1513"/>
      <c r="AH376" s="1513"/>
      <c r="AI376" s="1513"/>
      <c r="AJ376" s="1513"/>
      <c r="AK376" s="1513"/>
      <c r="AL376" s="1607"/>
      <c r="AM376" s="737"/>
      <c r="AO376" s="243"/>
      <c r="AP376" s="63"/>
      <c r="BS376" s="34"/>
      <c r="BT376" s="34"/>
      <c r="BU376" s="21"/>
      <c r="BV376" s="21"/>
      <c r="BW376" s="21"/>
      <c r="BX376" s="21"/>
      <c r="BY376" s="21"/>
      <c r="BZ376" s="21"/>
      <c r="CA376" s="21"/>
      <c r="CB376" s="21"/>
      <c r="CC376" s="21"/>
      <c r="CD376" s="21"/>
      <c r="CE376" s="21"/>
      <c r="CF376" s="21"/>
      <c r="CG376" s="21"/>
      <c r="CH376" s="21"/>
      <c r="CI376" s="3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6"/>
      <c r="D377" s="917"/>
      <c r="E377" s="614"/>
      <c r="F377" s="720"/>
      <c r="G377" s="720"/>
      <c r="H377" s="720"/>
      <c r="I377" s="720"/>
      <c r="J377" s="720"/>
      <c r="K377" s="720"/>
      <c r="L377" s="720"/>
      <c r="M377" s="720"/>
      <c r="N377" s="720"/>
      <c r="O377" s="720"/>
      <c r="P377" s="720"/>
      <c r="Q377" s="720"/>
      <c r="R377" s="720"/>
      <c r="S377" s="720"/>
      <c r="T377" s="720"/>
      <c r="U377" s="720"/>
      <c r="V377" s="720"/>
      <c r="W377" s="720"/>
      <c r="X377" s="720"/>
      <c r="Y377" s="720"/>
      <c r="Z377" s="720"/>
      <c r="AA377" s="720"/>
      <c r="AB377" s="720"/>
      <c r="AC377" s="720"/>
      <c r="AD377" s="720"/>
      <c r="AE377" s="690"/>
      <c r="AF377" s="690"/>
      <c r="AG377" s="690"/>
      <c r="AH377" s="690"/>
      <c r="AI377" s="690"/>
      <c r="AJ377" s="690"/>
      <c r="AK377" s="690"/>
      <c r="AL377" s="691"/>
      <c r="AM377"/>
      <c r="AN377" s="243"/>
      <c r="AO377" s="602"/>
      <c r="AP377" s="48"/>
      <c r="BS377" s="34"/>
      <c r="BT377" s="34"/>
      <c r="BU377" s="21"/>
      <c r="BV377" s="21"/>
      <c r="BW377" s="21"/>
      <c r="BX377" s="21"/>
      <c r="BY377" s="21"/>
      <c r="BZ377" s="21"/>
      <c r="CA377" s="21"/>
      <c r="CB377" s="21"/>
      <c r="CC377" s="21"/>
      <c r="CD377" s="21"/>
      <c r="CE377" s="21"/>
      <c r="CF377" s="21"/>
      <c r="CG377" s="21"/>
      <c r="CH377" s="21"/>
      <c r="CI377" s="36"/>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c r="D378"/>
      <c r="E378" s="191"/>
      <c r="F378" s="286"/>
      <c r="G378" s="26"/>
      <c r="H378" s="26"/>
      <c r="I378" s="26"/>
      <c r="J378" s="26"/>
      <c r="K378" s="26"/>
      <c r="L378" s="26"/>
      <c r="M378" s="26"/>
      <c r="N378" s="26"/>
      <c r="O378" s="26"/>
      <c r="P378" s="26"/>
      <c r="Q378" s="26"/>
      <c r="R378" s="26"/>
      <c r="S378" s="26"/>
      <c r="T378" s="26"/>
      <c r="U378" s="26"/>
      <c r="V378" s="26"/>
      <c r="W378" s="26"/>
      <c r="X378" s="26"/>
      <c r="Y378" s="26"/>
      <c r="Z378" s="26"/>
      <c r="AA378" s="26"/>
      <c r="AB378" s="26"/>
      <c r="AC378" s="26"/>
      <c r="AD378" s="26"/>
      <c r="AF378" s="3"/>
      <c r="AG378" s="3"/>
      <c r="AH378" s="3"/>
      <c r="AI378" s="3"/>
      <c r="AJ378" s="3"/>
      <c r="AK378" s="3"/>
      <c r="AL378" s="3"/>
      <c r="AM378"/>
      <c r="AN378" s="243"/>
      <c r="AO378" s="145" t="s">
        <v>1596</v>
      </c>
      <c r="AP378" s="3">
        <f>SUM(AP366:AP377)</f>
        <v>10</v>
      </c>
      <c r="AQ378" s="1177">
        <f>IF(AP378&gt;0,AP378,0)</f>
        <v>10</v>
      </c>
      <c r="AR378" s="1177"/>
      <c r="BS378" s="34"/>
      <c r="BT378" s="34"/>
      <c r="BU378" s="21"/>
      <c r="BV378" s="21"/>
      <c r="BW378" s="21"/>
      <c r="BX378" s="21"/>
      <c r="BY378" s="21"/>
      <c r="BZ378" s="21"/>
      <c r="CA378" s="21"/>
      <c r="CB378" s="21"/>
      <c r="CC378" s="21"/>
      <c r="CD378" s="21"/>
      <c r="CE378" s="21"/>
      <c r="CF378" s="21"/>
      <c r="CG378" s="21"/>
      <c r="CH378" s="21"/>
      <c r="CI378" s="36"/>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7"/>
      <c r="B379" s="21"/>
      <c r="C379" s="1"/>
      <c r="D379" s="1"/>
      <c r="E379" s="191"/>
      <c r="F379" s="286"/>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L379" s="18"/>
      <c r="AM379"/>
      <c r="AN379" s="243"/>
      <c r="CC379" s="21"/>
      <c r="CD379" s="21"/>
      <c r="CE379" s="21"/>
      <c r="CF379" s="21"/>
      <c r="CG379" s="21"/>
      <c r="CH379" s="21"/>
      <c r="CI379" s="36"/>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7"/>
      <c r="B380" s="21"/>
      <c r="C380" s="1"/>
      <c r="D380" s="1"/>
      <c r="E380" s="191"/>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18"/>
      <c r="AF380" s="18"/>
      <c r="AG380" s="18"/>
      <c r="AH380" s="18"/>
      <c r="AI380" s="18"/>
      <c r="AJ380" s="18"/>
      <c r="AK380" s="18"/>
      <c r="AL380" s="18"/>
      <c r="AM380"/>
      <c r="AN380" s="243"/>
      <c r="BS380" s="34"/>
      <c r="BT380" s="34"/>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609"/>
      <c r="D381" s="610"/>
      <c r="E381" s="611" t="s">
        <v>2056</v>
      </c>
      <c r="F381" s="1608" t="s">
        <v>2057</v>
      </c>
      <c r="G381" s="1608"/>
      <c r="H381" s="1608"/>
      <c r="I381" s="1608"/>
      <c r="J381" s="1608"/>
      <c r="K381" s="1608"/>
      <c r="L381" s="1608"/>
      <c r="M381" s="1608"/>
      <c r="N381" s="1608"/>
      <c r="O381" s="1608"/>
      <c r="P381" s="1608"/>
      <c r="Q381" s="1608"/>
      <c r="R381" s="1608"/>
      <c r="S381" s="1608"/>
      <c r="T381" s="1608"/>
      <c r="U381" s="1608"/>
      <c r="V381" s="1608"/>
      <c r="W381" s="1608"/>
      <c r="X381" s="1608"/>
      <c r="Y381" s="1608"/>
      <c r="Z381" s="1608"/>
      <c r="AA381" s="1608"/>
      <c r="AB381" s="1608"/>
      <c r="AC381" s="1608"/>
      <c r="AD381" s="1608"/>
      <c r="AE381" s="1608"/>
      <c r="AF381" s="1608"/>
      <c r="AG381" s="650"/>
      <c r="AH381" s="650"/>
      <c r="AI381" s="650"/>
      <c r="AJ381" s="650"/>
      <c r="AK381" s="650"/>
      <c r="AL381" s="693"/>
      <c r="AM381"/>
      <c r="AN381" s="243"/>
      <c r="BS381" s="34"/>
      <c r="BT381" s="34"/>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616"/>
      <c r="D382" s="21"/>
      <c r="E382" s="170"/>
      <c r="F382" s="1582"/>
      <c r="G382" s="1582"/>
      <c r="H382" s="1582"/>
      <c r="I382" s="1582"/>
      <c r="J382" s="1582"/>
      <c r="K382" s="1582"/>
      <c r="L382" s="1582"/>
      <c r="M382" s="1582"/>
      <c r="N382" s="1582"/>
      <c r="O382" s="1582"/>
      <c r="P382" s="1582"/>
      <c r="Q382" s="1582"/>
      <c r="R382" s="1582"/>
      <c r="S382" s="1582"/>
      <c r="T382" s="1582"/>
      <c r="U382" s="1582"/>
      <c r="V382" s="1582"/>
      <c r="W382" s="1582"/>
      <c r="X382" s="1582"/>
      <c r="Y382" s="1582"/>
      <c r="Z382" s="1582"/>
      <c r="AA382" s="1582"/>
      <c r="AB382" s="1582"/>
      <c r="AC382" s="1582"/>
      <c r="AD382" s="1582"/>
      <c r="AE382" s="1582"/>
      <c r="AF382" s="1582"/>
      <c r="AG382" s="3"/>
      <c r="AH382" s="3"/>
      <c r="AI382" s="3"/>
      <c r="AJ382" s="3"/>
      <c r="AK382" s="3"/>
      <c r="AL382" s="689"/>
      <c r="AM382"/>
      <c r="AN382" s="243"/>
      <c r="BS382" s="34"/>
      <c r="BT382" s="34"/>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s="616"/>
      <c r="D383" s="21"/>
      <c r="E383" s="170"/>
      <c r="F383" s="1582"/>
      <c r="G383" s="1582"/>
      <c r="H383" s="1582"/>
      <c r="I383" s="1582"/>
      <c r="J383" s="1582"/>
      <c r="K383" s="1582"/>
      <c r="L383" s="1582"/>
      <c r="M383" s="1582"/>
      <c r="N383" s="1582"/>
      <c r="O383" s="1582"/>
      <c r="P383" s="1582"/>
      <c r="Q383" s="1582"/>
      <c r="R383" s="1582"/>
      <c r="S383" s="1582"/>
      <c r="T383" s="1582"/>
      <c r="U383" s="1582"/>
      <c r="V383" s="1582"/>
      <c r="W383" s="1582"/>
      <c r="X383" s="1582"/>
      <c r="Y383" s="1582"/>
      <c r="Z383" s="1582"/>
      <c r="AA383" s="1582"/>
      <c r="AB383" s="1582"/>
      <c r="AC383" s="1582"/>
      <c r="AD383" s="1582"/>
      <c r="AE383" s="1582"/>
      <c r="AF383" s="1582"/>
      <c r="AG383" s="3"/>
      <c r="AH383" s="3"/>
      <c r="AI383" s="3"/>
      <c r="AJ383" s="3"/>
      <c r="AK383" s="3"/>
      <c r="AL383" s="689"/>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616"/>
      <c r="D384" s="21"/>
      <c r="E384" s="170"/>
      <c r="F384" s="1582"/>
      <c r="G384" s="1582"/>
      <c r="H384" s="1582"/>
      <c r="I384" s="1582"/>
      <c r="J384" s="1582"/>
      <c r="K384" s="1582"/>
      <c r="L384" s="1582"/>
      <c r="M384" s="1582"/>
      <c r="N384" s="1582"/>
      <c r="O384" s="1582"/>
      <c r="P384" s="1582"/>
      <c r="Q384" s="1582"/>
      <c r="R384" s="1582"/>
      <c r="S384" s="1582"/>
      <c r="T384" s="1582"/>
      <c r="U384" s="1582"/>
      <c r="V384" s="1582"/>
      <c r="W384" s="1582"/>
      <c r="X384" s="1582"/>
      <c r="Y384" s="1582"/>
      <c r="Z384" s="1582"/>
      <c r="AA384" s="1582"/>
      <c r="AB384" s="1582"/>
      <c r="AC384" s="1582"/>
      <c r="AD384" s="1582"/>
      <c r="AE384" s="1582"/>
      <c r="AF384" s="1582"/>
      <c r="AG384" s="3"/>
      <c r="AH384" s="3"/>
      <c r="AI384" s="3"/>
      <c r="AJ384" s="3"/>
      <c r="AK384" s="3"/>
      <c r="AL384" s="689"/>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16"/>
      <c r="D385" s="21"/>
      <c r="E385" s="170"/>
      <c r="F385" s="1582"/>
      <c r="G385" s="1582"/>
      <c r="H385" s="1582"/>
      <c r="I385" s="1582"/>
      <c r="J385" s="1582"/>
      <c r="K385" s="1582"/>
      <c r="L385" s="1582"/>
      <c r="M385" s="1582"/>
      <c r="N385" s="1582"/>
      <c r="O385" s="1582"/>
      <c r="P385" s="1582"/>
      <c r="Q385" s="1582"/>
      <c r="R385" s="1582"/>
      <c r="S385" s="1582"/>
      <c r="T385" s="1582"/>
      <c r="U385" s="1582"/>
      <c r="V385" s="1582"/>
      <c r="W385" s="1582"/>
      <c r="X385" s="1582"/>
      <c r="Y385" s="1582"/>
      <c r="Z385" s="1582"/>
      <c r="AA385" s="1582"/>
      <c r="AB385" s="1582"/>
      <c r="AC385" s="1582"/>
      <c r="AD385" s="1582"/>
      <c r="AE385" s="1582"/>
      <c r="AF385" s="1582"/>
      <c r="AL385" s="617"/>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1612" t="s">
        <v>826</v>
      </c>
      <c r="D386" s="1069"/>
      <c r="E386" s="170"/>
      <c r="F386" s="286" t="s">
        <v>2058</v>
      </c>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26"/>
      <c r="AF386" s="1513" t="s">
        <v>2055</v>
      </c>
      <c r="AG386" s="1513"/>
      <c r="AH386" s="1513"/>
      <c r="AI386" s="1513"/>
      <c r="AJ386" s="1513"/>
      <c r="AK386" s="1513"/>
      <c r="AL386" s="160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37"/>
      <c r="B387" s="21"/>
      <c r="C387" s="916"/>
      <c r="D387" s="917"/>
      <c r="E387" s="614"/>
      <c r="F387" s="720"/>
      <c r="G387" s="720"/>
      <c r="H387" s="720"/>
      <c r="I387" s="720"/>
      <c r="J387" s="720"/>
      <c r="K387" s="720"/>
      <c r="L387" s="720"/>
      <c r="M387" s="720"/>
      <c r="N387" s="720"/>
      <c r="O387" s="720"/>
      <c r="P387" s="720"/>
      <c r="Q387" s="720"/>
      <c r="R387" s="720"/>
      <c r="S387" s="720"/>
      <c r="T387" s="720"/>
      <c r="U387" s="720"/>
      <c r="V387" s="720"/>
      <c r="W387" s="720"/>
      <c r="X387" s="720"/>
      <c r="Y387" s="720"/>
      <c r="Z387" s="720"/>
      <c r="AA387" s="720"/>
      <c r="AB387" s="720"/>
      <c r="AC387" s="720"/>
      <c r="AD387" s="720"/>
      <c r="AE387" s="690"/>
      <c r="AF387" s="690"/>
      <c r="AG387" s="690"/>
      <c r="AH387" s="690"/>
      <c r="AI387" s="690"/>
      <c r="AJ387" s="690"/>
      <c r="AK387" s="690"/>
      <c r="AL387" s="691"/>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37"/>
      <c r="B388" s="21"/>
      <c r="C388" s="1225"/>
      <c r="D388" s="1225"/>
      <c r="E388" s="191"/>
      <c r="F388" s="287"/>
      <c r="G388" s="42"/>
      <c r="H388" s="42"/>
      <c r="I388" s="42"/>
      <c r="J388" s="42"/>
      <c r="K388" s="42"/>
      <c r="L388" s="42"/>
      <c r="M388" s="42"/>
      <c r="N388" s="42"/>
      <c r="O388" s="42"/>
      <c r="P388" s="42"/>
      <c r="Q388" s="42"/>
      <c r="R388" s="42"/>
      <c r="S388" s="42"/>
      <c r="T388" s="42"/>
      <c r="U388" s="42"/>
      <c r="V388" s="42"/>
      <c r="W388" s="42"/>
      <c r="X388" s="42"/>
      <c r="Y388" s="42"/>
      <c r="Z388" s="42"/>
      <c r="AA388" s="42"/>
      <c r="AB388" s="42"/>
      <c r="AC388" s="42"/>
      <c r="AD388" s="42"/>
      <c r="AF388" s="1513"/>
      <c r="AG388" s="1513"/>
      <c r="AH388" s="1513"/>
      <c r="AI388" s="1513"/>
      <c r="AJ388" s="1513"/>
      <c r="AK388" s="1513"/>
      <c r="AL388" s="1513"/>
      <c r="AM388"/>
      <c r="AN388" s="254"/>
      <c r="BS388" s="34"/>
      <c r="BT388" s="34"/>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37"/>
      <c r="B389" s="21"/>
      <c r="C389" s="21"/>
      <c r="D389" s="21"/>
      <c r="E389" s="170"/>
      <c r="F389" s="287"/>
      <c r="G389" s="42"/>
      <c r="H389" s="42"/>
      <c r="I389" s="42"/>
      <c r="J389" s="42"/>
      <c r="K389" s="42"/>
      <c r="L389" s="42"/>
      <c r="M389" s="42"/>
      <c r="N389" s="42"/>
      <c r="O389" s="42"/>
      <c r="P389" s="42"/>
      <c r="Q389" s="42"/>
      <c r="R389" s="42"/>
      <c r="S389" s="42"/>
      <c r="T389" s="42"/>
      <c r="U389" s="42"/>
      <c r="V389" s="42"/>
      <c r="W389" s="42"/>
      <c r="X389" s="42"/>
      <c r="Y389" s="42"/>
      <c r="Z389" s="42"/>
      <c r="AA389" s="42"/>
      <c r="AB389" s="42"/>
      <c r="AC389" s="42"/>
      <c r="AD389" s="42"/>
      <c r="AE389" s="37"/>
      <c r="AF389" s="3"/>
      <c r="AG389" s="37"/>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37"/>
      <c r="B390" s="21"/>
      <c r="C390" s="21"/>
      <c r="D390" s="21"/>
      <c r="E390" s="170"/>
      <c r="F390" s="42"/>
      <c r="G390" s="42"/>
      <c r="H390" s="42"/>
      <c r="I390" s="42"/>
      <c r="J390" s="42"/>
      <c r="K390" s="42"/>
      <c r="L390" s="42"/>
      <c r="M390" s="42"/>
      <c r="N390" s="42"/>
      <c r="O390" s="42"/>
      <c r="P390" s="42"/>
      <c r="Q390" s="42"/>
      <c r="R390" s="42"/>
      <c r="S390" s="42"/>
      <c r="T390" s="42"/>
      <c r="U390" s="42"/>
      <c r="V390" s="42"/>
      <c r="W390" s="42"/>
      <c r="X390" s="42"/>
      <c r="Y390" s="42"/>
      <c r="Z390" s="42"/>
      <c r="AA390" s="42"/>
      <c r="AB390" s="42"/>
      <c r="AC390" s="42"/>
      <c r="AD390" s="42"/>
      <c r="AE390" s="37"/>
      <c r="AF390" s="3"/>
      <c r="AG390" s="37"/>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7"/>
      <c r="B391" s="21"/>
      <c r="C391" s="609"/>
      <c r="D391" s="610"/>
      <c r="E391" s="611" t="s">
        <v>2059</v>
      </c>
      <c r="F391" s="1770" t="s">
        <v>2060</v>
      </c>
      <c r="G391" s="1770"/>
      <c r="H391" s="1770"/>
      <c r="I391" s="1770"/>
      <c r="J391" s="1770"/>
      <c r="K391" s="1770"/>
      <c r="L391" s="1770"/>
      <c r="M391" s="1770"/>
      <c r="N391" s="1770"/>
      <c r="O391" s="1770"/>
      <c r="P391" s="1770"/>
      <c r="Q391" s="1770"/>
      <c r="R391" s="1770"/>
      <c r="S391" s="1770"/>
      <c r="T391" s="1770"/>
      <c r="U391" s="1770"/>
      <c r="V391" s="1770"/>
      <c r="W391" s="1770"/>
      <c r="X391" s="1770"/>
      <c r="Y391" s="1770"/>
      <c r="Z391" s="1770"/>
      <c r="AA391" s="1770"/>
      <c r="AB391" s="1770"/>
      <c r="AC391" s="1770"/>
      <c r="AD391" s="1770"/>
      <c r="AE391" s="1770"/>
      <c r="AF391" s="1770"/>
      <c r="AG391" s="650"/>
      <c r="AH391" s="650"/>
      <c r="AI391" s="650"/>
      <c r="AJ391" s="650"/>
      <c r="AK391" s="650"/>
      <c r="AL391" s="693"/>
      <c r="AM391"/>
      <c r="AN391" s="243"/>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7"/>
      <c r="B392" s="21"/>
      <c r="C392" s="616"/>
      <c r="D392" s="21"/>
      <c r="E392" s="170"/>
      <c r="F392" s="1595"/>
      <c r="G392" s="1595"/>
      <c r="H392" s="1595"/>
      <c r="I392" s="1595"/>
      <c r="J392" s="1595"/>
      <c r="K392" s="1595"/>
      <c r="L392" s="1595"/>
      <c r="M392" s="1595"/>
      <c r="N392" s="1595"/>
      <c r="O392" s="1595"/>
      <c r="P392" s="1595"/>
      <c r="Q392" s="1595"/>
      <c r="R392" s="1595"/>
      <c r="S392" s="1595"/>
      <c r="T392" s="1595"/>
      <c r="U392" s="1595"/>
      <c r="V392" s="1595"/>
      <c r="W392" s="1595"/>
      <c r="X392" s="1595"/>
      <c r="Y392" s="1595"/>
      <c r="Z392" s="1595"/>
      <c r="AA392" s="1595"/>
      <c r="AB392" s="1595"/>
      <c r="AC392" s="1595"/>
      <c r="AD392" s="1595"/>
      <c r="AE392" s="1595"/>
      <c r="AF392" s="1595"/>
      <c r="AG392" s="3"/>
      <c r="AH392" s="3"/>
      <c r="AI392" s="3"/>
      <c r="AJ392" s="3"/>
      <c r="AK392" s="3"/>
      <c r="AL392" s="689"/>
      <c r="AM392"/>
      <c r="AN392" s="243"/>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7"/>
      <c r="B393" s="21"/>
      <c r="C393" s="616"/>
      <c r="D393" s="21"/>
      <c r="E393" s="170"/>
      <c r="F393" s="1595"/>
      <c r="G393" s="1595"/>
      <c r="H393" s="1595"/>
      <c r="I393" s="1595"/>
      <c r="J393" s="1595"/>
      <c r="K393" s="1595"/>
      <c r="L393" s="1595"/>
      <c r="M393" s="1595"/>
      <c r="N393" s="1595"/>
      <c r="O393" s="1595"/>
      <c r="P393" s="1595"/>
      <c r="Q393" s="1595"/>
      <c r="R393" s="1595"/>
      <c r="S393" s="1595"/>
      <c r="T393" s="1595"/>
      <c r="U393" s="1595"/>
      <c r="V393" s="1595"/>
      <c r="W393" s="1595"/>
      <c r="X393" s="1595"/>
      <c r="Y393" s="1595"/>
      <c r="Z393" s="1595"/>
      <c r="AA393" s="1595"/>
      <c r="AB393" s="1595"/>
      <c r="AC393" s="1595"/>
      <c r="AD393" s="1595"/>
      <c r="AE393" s="1595"/>
      <c r="AF393" s="1595"/>
      <c r="AG393" s="3"/>
      <c r="AH393" s="3"/>
      <c r="AI393" s="3"/>
      <c r="AJ393" s="3"/>
      <c r="AK393" s="3"/>
      <c r="AL393" s="689"/>
      <c r="AM393"/>
      <c r="AN393" s="24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7"/>
      <c r="B394" s="21"/>
      <c r="C394" s="616"/>
      <c r="D394" s="21"/>
      <c r="E394" s="170"/>
      <c r="F394" s="1595"/>
      <c r="G394" s="1595"/>
      <c r="H394" s="1595"/>
      <c r="I394" s="1595"/>
      <c r="J394" s="1595"/>
      <c r="K394" s="1595"/>
      <c r="L394" s="1595"/>
      <c r="M394" s="1595"/>
      <c r="N394" s="1595"/>
      <c r="O394" s="1595"/>
      <c r="P394" s="1595"/>
      <c r="Q394" s="1595"/>
      <c r="R394" s="1595"/>
      <c r="S394" s="1595"/>
      <c r="T394" s="1595"/>
      <c r="U394" s="1595"/>
      <c r="V394" s="1595"/>
      <c r="W394" s="1595"/>
      <c r="X394" s="1595"/>
      <c r="Y394" s="1595"/>
      <c r="Z394" s="1595"/>
      <c r="AA394" s="1595"/>
      <c r="AB394" s="1595"/>
      <c r="AC394" s="1595"/>
      <c r="AD394" s="1595"/>
      <c r="AE394" s="1595"/>
      <c r="AF394" s="1595"/>
      <c r="AG394" s="3"/>
      <c r="AH394" s="3"/>
      <c r="AI394" s="3"/>
      <c r="AJ394" s="3"/>
      <c r="AK394" s="3"/>
      <c r="AL394" s="689"/>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16"/>
      <c r="D395" s="21"/>
      <c r="E395" s="170"/>
      <c r="F395" s="1595"/>
      <c r="G395" s="1595"/>
      <c r="H395" s="1595"/>
      <c r="I395" s="1595"/>
      <c r="J395" s="1595"/>
      <c r="K395" s="1595"/>
      <c r="L395" s="1595"/>
      <c r="M395" s="1595"/>
      <c r="N395" s="1595"/>
      <c r="O395" s="1595"/>
      <c r="P395" s="1595"/>
      <c r="Q395" s="1595"/>
      <c r="R395" s="1595"/>
      <c r="S395" s="1595"/>
      <c r="T395" s="1595"/>
      <c r="U395" s="1595"/>
      <c r="V395" s="1595"/>
      <c r="W395" s="1595"/>
      <c r="X395" s="1595"/>
      <c r="Y395" s="1595"/>
      <c r="Z395" s="1595"/>
      <c r="AA395" s="1595"/>
      <c r="AB395" s="1595"/>
      <c r="AC395" s="1595"/>
      <c r="AD395" s="1595"/>
      <c r="AE395" s="1595"/>
      <c r="AF395" s="1595"/>
      <c r="AG395" s="3"/>
      <c r="AH395" s="3"/>
      <c r="AI395" s="3"/>
      <c r="AJ395" s="3"/>
      <c r="AK395" s="3"/>
      <c r="AL395" s="689"/>
      <c r="AM395"/>
      <c r="AN395" s="243"/>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7"/>
      <c r="B396" s="21"/>
      <c r="C396" s="1612" t="s">
        <v>325</v>
      </c>
      <c r="D396" s="1069"/>
      <c r="E396" s="170"/>
      <c r="F396" s="286" t="s">
        <v>2061</v>
      </c>
      <c r="G396" s="26"/>
      <c r="H396" s="26"/>
      <c r="I396" s="26"/>
      <c r="J396" s="26"/>
      <c r="K396" s="26"/>
      <c r="L396" s="26"/>
      <c r="M396" s="26"/>
      <c r="N396" s="26"/>
      <c r="O396" s="26"/>
      <c r="P396" s="26"/>
      <c r="Q396" s="26"/>
      <c r="R396" s="26"/>
      <c r="S396" s="26"/>
      <c r="T396" s="26"/>
      <c r="U396" s="26"/>
      <c r="V396" s="26"/>
      <c r="W396" s="26"/>
      <c r="X396" s="26"/>
      <c r="Y396" s="26"/>
      <c r="Z396" s="26"/>
      <c r="AA396" s="26"/>
      <c r="AB396" s="26"/>
      <c r="AC396" s="26"/>
      <c r="AD396" s="26"/>
      <c r="AF396" s="1513" t="s">
        <v>2062</v>
      </c>
      <c r="AG396" s="1513"/>
      <c r="AH396" s="1513"/>
      <c r="AI396" s="1513"/>
      <c r="AJ396" s="1513"/>
      <c r="AK396" s="1513"/>
      <c r="AL396" s="1607"/>
      <c r="AM396" s="737"/>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7"/>
      <c r="B397" s="21"/>
      <c r="C397" s="616"/>
      <c r="D397" s="21"/>
      <c r="E397" s="170"/>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L397" s="617"/>
      <c r="AM397"/>
      <c r="AN397" s="243"/>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7"/>
      <c r="B398" s="21"/>
      <c r="C398" s="1612" t="s">
        <v>325</v>
      </c>
      <c r="D398" s="1069"/>
      <c r="E398" s="170"/>
      <c r="F398" s="287" t="s">
        <v>2063</v>
      </c>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F398" s="1513" t="s">
        <v>2055</v>
      </c>
      <c r="AG398" s="1513"/>
      <c r="AH398" s="1513"/>
      <c r="AI398" s="1513"/>
      <c r="AJ398" s="1513"/>
      <c r="AK398" s="1513"/>
      <c r="AL398" s="1607"/>
      <c r="AM398"/>
      <c r="AN398" s="243"/>
      <c r="BS398"/>
      <c r="BT398"/>
      <c r="BU398"/>
      <c r="CF398"/>
      <c r="CG398"/>
      <c r="CH398"/>
      <c r="EK398"/>
      <c r="EL398"/>
      <c r="EM398"/>
      <c r="EN398"/>
      <c r="EO398"/>
      <c r="EP398"/>
      <c r="EQ398"/>
      <c r="ER398"/>
      <c r="ES398"/>
      <c r="ET398"/>
      <c r="EU398"/>
      <c r="EV398"/>
      <c r="EW398"/>
    </row>
    <row r="399" spans="1:153" s="4" customFormat="1" ht="12.75" customHeight="1">
      <c r="A399" s="37"/>
      <c r="B399" s="21"/>
      <c r="C399" s="616"/>
      <c r="D399" s="21"/>
      <c r="E399" s="170"/>
      <c r="F399" s="287"/>
      <c r="G399" s="287"/>
      <c r="H399" s="287"/>
      <c r="I399" s="287"/>
      <c r="J399" s="287"/>
      <c r="K399" s="287"/>
      <c r="L399" s="287"/>
      <c r="M399" s="287"/>
      <c r="N399" s="287"/>
      <c r="O399" s="287"/>
      <c r="P399" s="287"/>
      <c r="Q399" s="287"/>
      <c r="R399" s="287"/>
      <c r="S399" s="287"/>
      <c r="T399" s="287"/>
      <c r="U399" s="287"/>
      <c r="V399" s="287"/>
      <c r="W399" s="287"/>
      <c r="X399" s="287"/>
      <c r="Y399" s="287"/>
      <c r="Z399" s="287"/>
      <c r="AA399" s="287"/>
      <c r="AB399" s="287"/>
      <c r="AC399" s="287"/>
      <c r="AD399" s="287"/>
      <c r="AE399" s="37"/>
      <c r="AL399" s="617"/>
      <c r="AM399"/>
      <c r="AN399" s="243"/>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7"/>
      <c r="B400" s="21"/>
      <c r="C400" s="620"/>
      <c r="D400" s="621"/>
      <c r="E400" s="622"/>
      <c r="F400" s="623" t="s">
        <v>2064</v>
      </c>
      <c r="G400" s="618"/>
      <c r="H400" s="618"/>
      <c r="I400" s="618"/>
      <c r="J400" s="618"/>
      <c r="K400" s="618"/>
      <c r="L400" s="618"/>
      <c r="M400" s="618"/>
      <c r="N400" s="618"/>
      <c r="O400" s="618"/>
      <c r="P400" s="618"/>
      <c r="Q400" s="618"/>
      <c r="R400" s="618"/>
      <c r="S400" s="618"/>
      <c r="T400" s="618"/>
      <c r="U400" s="618"/>
      <c r="V400" s="618"/>
      <c r="W400" s="618"/>
      <c r="X400" s="618"/>
      <c r="Y400" s="618"/>
      <c r="Z400" s="618"/>
      <c r="AA400" s="618"/>
      <c r="AB400" s="618"/>
      <c r="AC400" s="618"/>
      <c r="AD400" s="618"/>
      <c r="AE400" s="917"/>
      <c r="AF400" s="624"/>
      <c r="AG400" s="917"/>
      <c r="AH400" s="625"/>
      <c r="AI400" s="625"/>
      <c r="AJ400" s="625"/>
      <c r="AK400" s="625"/>
      <c r="AL400" s="626"/>
      <c r="AM400"/>
      <c r="AN400" s="243"/>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7"/>
      <c r="B401" s="21"/>
      <c r="C401" s="21"/>
      <c r="D401" s="21"/>
      <c r="E401" s="170"/>
      <c r="F401" s="42"/>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E401" s="37"/>
      <c r="AF401" s="3"/>
      <c r="AG401" s="37"/>
      <c r="AM401"/>
      <c r="AN401" s="243"/>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7"/>
      <c r="B402" s="21"/>
      <c r="C402" s="609"/>
      <c r="D402" s="610"/>
      <c r="E402" s="611" t="s">
        <v>2065</v>
      </c>
      <c r="F402" s="1608" t="s">
        <v>2066</v>
      </c>
      <c r="G402" s="1608"/>
      <c r="H402" s="1608"/>
      <c r="I402" s="1608"/>
      <c r="J402" s="1608"/>
      <c r="K402" s="1608"/>
      <c r="L402" s="1608"/>
      <c r="M402" s="1608"/>
      <c r="N402" s="1608"/>
      <c r="O402" s="1608"/>
      <c r="P402" s="1608"/>
      <c r="Q402" s="1608"/>
      <c r="R402" s="1608"/>
      <c r="S402" s="1608"/>
      <c r="T402" s="1608"/>
      <c r="U402" s="1608"/>
      <c r="V402" s="1608"/>
      <c r="W402" s="1608"/>
      <c r="X402" s="1608"/>
      <c r="Y402" s="1608"/>
      <c r="Z402" s="1608"/>
      <c r="AA402" s="1608"/>
      <c r="AB402" s="1608"/>
      <c r="AC402" s="1608"/>
      <c r="AD402" s="1608"/>
      <c r="AE402" s="1608"/>
      <c r="AF402" s="1608"/>
      <c r="AG402" s="650"/>
      <c r="AH402" s="650"/>
      <c r="AI402" s="650"/>
      <c r="AJ402" s="650"/>
      <c r="AK402" s="650"/>
      <c r="AL402" s="693"/>
      <c r="AM402"/>
      <c r="AN402" s="243"/>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6"/>
      <c r="D403" s="21"/>
      <c r="E403" s="170"/>
      <c r="F403" s="1582"/>
      <c r="G403" s="1582"/>
      <c r="H403" s="1582"/>
      <c r="I403" s="1582"/>
      <c r="J403" s="1582"/>
      <c r="K403" s="1582"/>
      <c r="L403" s="1582"/>
      <c r="M403" s="1582"/>
      <c r="N403" s="1582"/>
      <c r="O403" s="1582"/>
      <c r="P403" s="1582"/>
      <c r="Q403" s="1582"/>
      <c r="R403" s="1582"/>
      <c r="S403" s="1582"/>
      <c r="T403" s="1582"/>
      <c r="U403" s="1582"/>
      <c r="V403" s="1582"/>
      <c r="W403" s="1582"/>
      <c r="X403" s="1582"/>
      <c r="Y403" s="1582"/>
      <c r="Z403" s="1582"/>
      <c r="AA403" s="1582"/>
      <c r="AB403" s="1582"/>
      <c r="AC403" s="1582"/>
      <c r="AD403" s="1582"/>
      <c r="AE403" s="1582"/>
      <c r="AF403" s="1582"/>
      <c r="AG403" s="3"/>
      <c r="AH403" s="3"/>
      <c r="AI403" s="3"/>
      <c r="AJ403" s="3"/>
      <c r="AK403" s="3"/>
      <c r="AL403" s="689"/>
      <c r="AM403"/>
      <c r="AN403" s="243"/>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7"/>
      <c r="C404" s="616"/>
      <c r="E404" s="170"/>
      <c r="F404" s="1582"/>
      <c r="G404" s="1582"/>
      <c r="H404" s="1582"/>
      <c r="I404" s="1582"/>
      <c r="J404" s="1582"/>
      <c r="K404" s="1582"/>
      <c r="L404" s="1582"/>
      <c r="M404" s="1582"/>
      <c r="N404" s="1582"/>
      <c r="O404" s="1582"/>
      <c r="P404" s="1582"/>
      <c r="Q404" s="1582"/>
      <c r="R404" s="1582"/>
      <c r="S404" s="1582"/>
      <c r="T404" s="1582"/>
      <c r="U404" s="1582"/>
      <c r="V404" s="1582"/>
      <c r="W404" s="1582"/>
      <c r="X404" s="1582"/>
      <c r="Y404" s="1582"/>
      <c r="Z404" s="1582"/>
      <c r="AA404" s="1582"/>
      <c r="AB404" s="1582"/>
      <c r="AC404" s="1582"/>
      <c r="AD404" s="1582"/>
      <c r="AE404" s="1582"/>
      <c r="AF404" s="1582"/>
      <c r="AG404" s="3"/>
      <c r="AH404" s="3"/>
      <c r="AI404" s="3"/>
      <c r="AJ404" s="3"/>
      <c r="AK404" s="3"/>
      <c r="AL404" s="68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16"/>
      <c r="D405" s="21"/>
      <c r="E405" s="170"/>
      <c r="F405" s="1582"/>
      <c r="G405" s="1582"/>
      <c r="H405" s="1582"/>
      <c r="I405" s="1582"/>
      <c r="J405" s="1582"/>
      <c r="K405" s="1582"/>
      <c r="L405" s="1582"/>
      <c r="M405" s="1582"/>
      <c r="N405" s="1582"/>
      <c r="O405" s="1582"/>
      <c r="P405" s="1582"/>
      <c r="Q405" s="1582"/>
      <c r="R405" s="1582"/>
      <c r="S405" s="1582"/>
      <c r="T405" s="1582"/>
      <c r="U405" s="1582"/>
      <c r="V405" s="1582"/>
      <c r="W405" s="1582"/>
      <c r="X405" s="1582"/>
      <c r="Y405" s="1582"/>
      <c r="Z405" s="1582"/>
      <c r="AA405" s="1582"/>
      <c r="AB405" s="1582"/>
      <c r="AC405" s="1582"/>
      <c r="AD405" s="1582"/>
      <c r="AE405" s="1582"/>
      <c r="AF405" s="1582"/>
      <c r="AG405" s="3"/>
      <c r="AH405" s="3"/>
      <c r="AI405" s="3"/>
      <c r="AJ405" s="3"/>
      <c r="AK405" s="3"/>
      <c r="AL405" s="689"/>
      <c r="AM405"/>
      <c r="AN405" s="243"/>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1612" t="s">
        <v>325</v>
      </c>
      <c r="D406" s="1069"/>
      <c r="E406" s="170"/>
      <c r="F406" s="286" t="s">
        <v>2067</v>
      </c>
      <c r="G406" s="26"/>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F406" s="1513" t="s">
        <v>2055</v>
      </c>
      <c r="AG406" s="1513"/>
      <c r="AH406" s="1513"/>
      <c r="AI406" s="1513"/>
      <c r="AJ406" s="1513"/>
      <c r="AK406" s="1513"/>
      <c r="AL406" s="1607"/>
      <c r="AM406"/>
      <c r="AN406" s="243"/>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6"/>
      <c r="D407" s="21"/>
      <c r="E407" s="170"/>
      <c r="G407" s="26"/>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L407" s="617"/>
      <c r="AM407"/>
      <c r="AN407" s="243"/>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1612" t="s">
        <v>325</v>
      </c>
      <c r="D408" s="1069"/>
      <c r="E408" s="191"/>
      <c r="F408" s="286" t="s">
        <v>2068</v>
      </c>
      <c r="G408" s="26"/>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F408" s="1513" t="s">
        <v>2069</v>
      </c>
      <c r="AG408" s="1513"/>
      <c r="AH408" s="1513"/>
      <c r="AI408" s="1513"/>
      <c r="AJ408" s="1513"/>
      <c r="AK408" s="1513"/>
      <c r="AL408" s="1607"/>
      <c r="AM408"/>
      <c r="AN408" s="243"/>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627"/>
      <c r="D409" s="625"/>
      <c r="E409" s="614"/>
      <c r="F409" s="625"/>
      <c r="G409" s="615"/>
      <c r="H409" s="615"/>
      <c r="I409" s="615"/>
      <c r="J409" s="615"/>
      <c r="K409" s="615"/>
      <c r="L409" s="615"/>
      <c r="M409" s="615"/>
      <c r="N409" s="615"/>
      <c r="O409" s="615"/>
      <c r="P409" s="615"/>
      <c r="Q409" s="615"/>
      <c r="R409" s="615"/>
      <c r="S409" s="615"/>
      <c r="T409" s="615"/>
      <c r="U409" s="615"/>
      <c r="V409" s="615"/>
      <c r="W409" s="615"/>
      <c r="X409" s="615"/>
      <c r="Y409" s="615"/>
      <c r="Z409" s="615"/>
      <c r="AA409" s="615"/>
      <c r="AB409" s="615"/>
      <c r="AC409" s="615"/>
      <c r="AD409" s="615"/>
      <c r="AE409" s="625"/>
      <c r="AF409" s="625"/>
      <c r="AG409" s="625"/>
      <c r="AH409" s="625"/>
      <c r="AI409" s="625"/>
      <c r="AJ409" s="625"/>
      <c r="AK409" s="625"/>
      <c r="AL409" s="626"/>
      <c r="AM409"/>
      <c r="AN409" s="243"/>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21"/>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37"/>
      <c r="AF410" s="3"/>
      <c r="AG410" s="37"/>
      <c r="AM410"/>
      <c r="AN410" s="243"/>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612" t="s">
        <v>325</v>
      </c>
      <c r="D411" s="1069"/>
      <c r="E411" s="611" t="s">
        <v>2070</v>
      </c>
      <c r="F411" s="1608" t="s">
        <v>2071</v>
      </c>
      <c r="G411" s="1608"/>
      <c r="H411" s="1608"/>
      <c r="I411" s="1608"/>
      <c r="J411" s="1608"/>
      <c r="K411" s="1608"/>
      <c r="L411" s="1608"/>
      <c r="M411" s="1608"/>
      <c r="N411" s="1608"/>
      <c r="O411" s="1608"/>
      <c r="P411" s="1608"/>
      <c r="Q411" s="1608"/>
      <c r="R411" s="1608"/>
      <c r="S411" s="1608"/>
      <c r="T411" s="1608"/>
      <c r="U411" s="1608"/>
      <c r="V411" s="1608"/>
      <c r="W411" s="1608"/>
      <c r="X411" s="1608"/>
      <c r="Y411" s="1608"/>
      <c r="Z411" s="1608"/>
      <c r="AA411" s="1608"/>
      <c r="AB411" s="1608"/>
      <c r="AC411" s="1608"/>
      <c r="AD411" s="1608"/>
      <c r="AE411" s="1608"/>
      <c r="AF411" s="650"/>
      <c r="AG411" s="918"/>
      <c r="AH411" s="610"/>
      <c r="AI411" s="610"/>
      <c r="AJ411" s="610"/>
      <c r="AK411" s="610"/>
      <c r="AL411" s="632"/>
      <c r="AM411"/>
      <c r="AN411" s="243"/>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9"/>
      <c r="F412" s="1582"/>
      <c r="G412" s="1582"/>
      <c r="H412" s="1582"/>
      <c r="I412" s="1582"/>
      <c r="J412" s="1582"/>
      <c r="K412" s="1582"/>
      <c r="L412" s="1582"/>
      <c r="M412" s="1582"/>
      <c r="N412" s="1582"/>
      <c r="O412" s="1582"/>
      <c r="P412" s="1582"/>
      <c r="Q412" s="1582"/>
      <c r="R412" s="1582"/>
      <c r="S412" s="1582"/>
      <c r="T412" s="1582"/>
      <c r="U412" s="1582"/>
      <c r="V412" s="1582"/>
      <c r="W412" s="1582"/>
      <c r="X412" s="1582"/>
      <c r="Y412" s="1582"/>
      <c r="Z412" s="1582"/>
      <c r="AA412" s="1582"/>
      <c r="AB412" s="1582"/>
      <c r="AC412" s="1582"/>
      <c r="AD412" s="1582"/>
      <c r="AE412" s="1582"/>
      <c r="AF412" s="1593" t="s">
        <v>2055</v>
      </c>
      <c r="AG412" s="1593"/>
      <c r="AH412" s="1593"/>
      <c r="AI412" s="1593"/>
      <c r="AJ412" s="1593"/>
      <c r="AK412" s="1593"/>
      <c r="AL412" s="1617"/>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16"/>
      <c r="D413" s="21"/>
      <c r="E413" s="170"/>
      <c r="F413" s="1582"/>
      <c r="G413" s="1582"/>
      <c r="H413" s="1582"/>
      <c r="I413" s="1582"/>
      <c r="J413" s="1582"/>
      <c r="K413" s="1582"/>
      <c r="L413" s="1582"/>
      <c r="M413" s="1582"/>
      <c r="N413" s="1582"/>
      <c r="O413" s="1582"/>
      <c r="P413" s="1582"/>
      <c r="Q413" s="1582"/>
      <c r="R413" s="1582"/>
      <c r="S413" s="1582"/>
      <c r="T413" s="1582"/>
      <c r="U413" s="1582"/>
      <c r="V413" s="1582"/>
      <c r="W413" s="1582"/>
      <c r="X413" s="1582"/>
      <c r="Y413" s="1582"/>
      <c r="Z413" s="1582"/>
      <c r="AA413" s="1582"/>
      <c r="AB413" s="1582"/>
      <c r="AC413" s="1582"/>
      <c r="AD413" s="1582"/>
      <c r="AE413" s="1582"/>
      <c r="AL413" s="617"/>
      <c r="AM413"/>
      <c r="AN413" s="243"/>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20"/>
      <c r="D414" s="621"/>
      <c r="E414" s="622"/>
      <c r="F414" s="1609"/>
      <c r="G414" s="1609"/>
      <c r="H414" s="1609"/>
      <c r="I414" s="1609"/>
      <c r="J414" s="1609"/>
      <c r="K414" s="1609"/>
      <c r="L414" s="1609"/>
      <c r="M414" s="1609"/>
      <c r="N414" s="1609"/>
      <c r="O414" s="1609"/>
      <c r="P414" s="1609"/>
      <c r="Q414" s="1609"/>
      <c r="R414" s="1609"/>
      <c r="S414" s="1609"/>
      <c r="T414" s="1609"/>
      <c r="U414" s="1609"/>
      <c r="V414" s="1609"/>
      <c r="W414" s="1609"/>
      <c r="X414" s="1609"/>
      <c r="Y414" s="1609"/>
      <c r="Z414" s="1609"/>
      <c r="AA414" s="1609"/>
      <c r="AB414" s="1609"/>
      <c r="AC414" s="1609"/>
      <c r="AD414" s="1609"/>
      <c r="AE414" s="1609"/>
      <c r="AF414" s="624"/>
      <c r="AG414" s="917"/>
      <c r="AH414" s="625"/>
      <c r="AI414" s="625"/>
      <c r="AJ414" s="625"/>
      <c r="AK414" s="625"/>
      <c r="AL414" s="626"/>
      <c r="AM414"/>
      <c r="AN414" s="243"/>
    </row>
    <row r="415" spans="1:153">
      <c r="A415" s="37"/>
      <c r="E415" s="170"/>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H415" s="4"/>
      <c r="AI415" s="4"/>
      <c r="AJ415" s="4"/>
      <c r="AK415" s="4"/>
      <c r="AL415" s="4"/>
      <c r="AM415"/>
    </row>
    <row r="416" spans="1:153" ht="12.75" customHeight="1">
      <c r="A416" s="37"/>
      <c r="C416" s="628"/>
      <c r="D416" s="629"/>
      <c r="E416" s="611" t="s">
        <v>2072</v>
      </c>
      <c r="F416" s="1608" t="s">
        <v>2073</v>
      </c>
      <c r="G416" s="1608"/>
      <c r="H416" s="1608"/>
      <c r="I416" s="1608"/>
      <c r="J416" s="1608"/>
      <c r="K416" s="1608"/>
      <c r="L416" s="1608"/>
      <c r="M416" s="1608"/>
      <c r="N416" s="1608"/>
      <c r="O416" s="1608"/>
      <c r="P416" s="1608"/>
      <c r="Q416" s="1608"/>
      <c r="R416" s="1608"/>
      <c r="S416" s="1608"/>
      <c r="T416" s="1608"/>
      <c r="U416" s="1608"/>
      <c r="V416" s="1608"/>
      <c r="W416" s="1608"/>
      <c r="X416" s="1608"/>
      <c r="Y416" s="1608"/>
      <c r="Z416" s="1608"/>
      <c r="AA416" s="1608"/>
      <c r="AB416" s="1608"/>
      <c r="AC416" s="1608"/>
      <c r="AD416" s="1608"/>
      <c r="AE416" s="1608"/>
      <c r="AF416" s="629"/>
      <c r="AG416" s="629"/>
      <c r="AH416" s="629"/>
      <c r="AI416" s="629"/>
      <c r="AJ416" s="629"/>
      <c r="AK416" s="629"/>
      <c r="AL416" s="630"/>
      <c r="AM416"/>
    </row>
    <row r="417" spans="1:60">
      <c r="A417" s="37"/>
      <c r="C417" s="616"/>
      <c r="E417" s="170"/>
      <c r="F417" s="1582"/>
      <c r="G417" s="1582"/>
      <c r="H417" s="1582"/>
      <c r="I417" s="1582"/>
      <c r="J417" s="1582"/>
      <c r="K417" s="1582"/>
      <c r="L417" s="1582"/>
      <c r="M417" s="1582"/>
      <c r="N417" s="1582"/>
      <c r="O417" s="1582"/>
      <c r="P417" s="1582"/>
      <c r="Q417" s="1582"/>
      <c r="R417" s="1582"/>
      <c r="S417" s="1582"/>
      <c r="T417" s="1582"/>
      <c r="U417" s="1582"/>
      <c r="V417" s="1582"/>
      <c r="W417" s="1582"/>
      <c r="X417" s="1582"/>
      <c r="Y417" s="1582"/>
      <c r="Z417" s="1582"/>
      <c r="AA417" s="1582"/>
      <c r="AB417" s="1582"/>
      <c r="AC417" s="1582"/>
      <c r="AD417" s="1582"/>
      <c r="AE417" s="1582"/>
      <c r="AF417" s="3"/>
      <c r="AG417" s="37"/>
      <c r="AH417" s="4"/>
      <c r="AI417" s="4"/>
      <c r="AJ417" s="4"/>
      <c r="AK417" s="4"/>
      <c r="AL417" s="617"/>
      <c r="AM417"/>
    </row>
    <row r="418" spans="1:60" s="4" customFormat="1" ht="12.75" customHeight="1">
      <c r="A418" s="37"/>
      <c r="B418" s="21"/>
      <c r="C418" s="616"/>
      <c r="D418" s="21"/>
      <c r="E418" s="170"/>
      <c r="F418" s="1582"/>
      <c r="G418" s="1582"/>
      <c r="H418" s="1582"/>
      <c r="I418" s="1582"/>
      <c r="J418" s="1582"/>
      <c r="K418" s="1582"/>
      <c r="L418" s="1582"/>
      <c r="M418" s="1582"/>
      <c r="N418" s="1582"/>
      <c r="O418" s="1582"/>
      <c r="P418" s="1582"/>
      <c r="Q418" s="1582"/>
      <c r="R418" s="1582"/>
      <c r="S418" s="1582"/>
      <c r="T418" s="1582"/>
      <c r="U418" s="1582"/>
      <c r="V418" s="1582"/>
      <c r="W418" s="1582"/>
      <c r="X418" s="1582"/>
      <c r="Y418" s="1582"/>
      <c r="Z418" s="1582"/>
      <c r="AA418" s="1582"/>
      <c r="AB418" s="1582"/>
      <c r="AC418" s="1582"/>
      <c r="AD418" s="1582"/>
      <c r="AE418" s="1582"/>
      <c r="AL418" s="617"/>
      <c r="AM418"/>
      <c r="AN418" s="243"/>
    </row>
    <row r="419" spans="1:60" s="4" customFormat="1" ht="12.75" customHeight="1">
      <c r="A419" s="37"/>
      <c r="B419" s="21"/>
      <c r="C419" s="619"/>
      <c r="F419" s="1582"/>
      <c r="G419" s="1582"/>
      <c r="H419" s="1582"/>
      <c r="I419" s="1582"/>
      <c r="J419" s="1582"/>
      <c r="K419" s="1582"/>
      <c r="L419" s="1582"/>
      <c r="M419" s="1582"/>
      <c r="N419" s="1582"/>
      <c r="O419" s="1582"/>
      <c r="P419" s="1582"/>
      <c r="Q419" s="1582"/>
      <c r="R419" s="1582"/>
      <c r="S419" s="1582"/>
      <c r="T419" s="1582"/>
      <c r="U419" s="1582"/>
      <c r="V419" s="1582"/>
      <c r="W419" s="1582"/>
      <c r="X419" s="1582"/>
      <c r="Y419" s="1582"/>
      <c r="Z419" s="1582"/>
      <c r="AA419" s="1582"/>
      <c r="AB419" s="1582"/>
      <c r="AC419" s="1582"/>
      <c r="AD419" s="1582"/>
      <c r="AE419" s="1582"/>
      <c r="AL419" s="617"/>
      <c r="AM419"/>
      <c r="AN419" s="243"/>
    </row>
    <row r="420" spans="1:60" s="4" customFormat="1" ht="12.75" customHeight="1">
      <c r="A420" s="37"/>
      <c r="B420" s="21"/>
      <c r="C420" s="1612" t="s">
        <v>325</v>
      </c>
      <c r="D420" s="1069"/>
      <c r="E420" s="170"/>
      <c r="F420" s="286" t="s">
        <v>2074</v>
      </c>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F420" s="1593" t="s">
        <v>2055</v>
      </c>
      <c r="AG420" s="1593"/>
      <c r="AH420" s="1593"/>
      <c r="AI420" s="1593"/>
      <c r="AJ420" s="1593"/>
      <c r="AK420" s="1593"/>
      <c r="AL420" s="1617"/>
      <c r="AM420"/>
      <c r="AN420" s="243"/>
    </row>
    <row r="421" spans="1:60" s="4" customFormat="1" ht="12.75" customHeight="1">
      <c r="A421" s="37"/>
      <c r="B421" s="21"/>
      <c r="C421" s="619"/>
      <c r="AL421" s="617"/>
      <c r="AM421"/>
      <c r="AN421" s="243"/>
    </row>
    <row r="422" spans="1:60" s="4" customFormat="1" ht="12.75" customHeight="1">
      <c r="A422" s="37"/>
      <c r="B422" s="21"/>
      <c r="C422" s="1612" t="s">
        <v>325</v>
      </c>
      <c r="D422" s="1069"/>
      <c r="E422" s="191"/>
      <c r="F422" s="286" t="s">
        <v>2075</v>
      </c>
      <c r="G422" s="26"/>
      <c r="H422" s="26"/>
      <c r="I422" s="26"/>
      <c r="J422" s="26"/>
      <c r="K422" s="26"/>
      <c r="L422" s="26"/>
      <c r="M422" s="26"/>
      <c r="N422" s="26"/>
      <c r="O422" s="26"/>
      <c r="P422" s="26"/>
      <c r="Q422" s="26"/>
      <c r="R422" s="26"/>
      <c r="S422" s="26"/>
      <c r="T422" s="26"/>
      <c r="U422" s="26"/>
      <c r="V422" s="26"/>
      <c r="W422" s="26"/>
      <c r="X422" s="26"/>
      <c r="Y422" s="26"/>
      <c r="Z422" s="26"/>
      <c r="AA422" s="26"/>
      <c r="AB422" s="26"/>
      <c r="AC422" s="26"/>
      <c r="AD422" s="26"/>
      <c r="AF422" s="1593" t="s">
        <v>2069</v>
      </c>
      <c r="AG422" s="1593"/>
      <c r="AH422" s="1593"/>
      <c r="AI422" s="1593"/>
      <c r="AJ422" s="1593"/>
      <c r="AK422" s="1593"/>
      <c r="AL422" s="1617"/>
      <c r="AM422"/>
      <c r="AN422" s="243"/>
      <c r="AO422" s="20"/>
      <c r="AP422" s="20"/>
      <c r="BC422" s="21"/>
    </row>
    <row r="423" spans="1:60" s="4" customFormat="1" ht="12.75" customHeight="1">
      <c r="A423" s="37"/>
      <c r="B423" s="21"/>
      <c r="C423" s="620"/>
      <c r="D423" s="621"/>
      <c r="E423" s="622"/>
      <c r="F423" s="631"/>
      <c r="G423" s="615"/>
      <c r="H423" s="615"/>
      <c r="I423" s="615"/>
      <c r="J423" s="615"/>
      <c r="K423" s="615"/>
      <c r="L423" s="615"/>
      <c r="M423" s="615"/>
      <c r="N423" s="615"/>
      <c r="O423" s="615"/>
      <c r="P423" s="615"/>
      <c r="Q423" s="615"/>
      <c r="R423" s="615"/>
      <c r="S423" s="615"/>
      <c r="T423" s="615"/>
      <c r="U423" s="615"/>
      <c r="V423" s="615"/>
      <c r="W423" s="615"/>
      <c r="X423" s="615"/>
      <c r="Y423" s="615"/>
      <c r="Z423" s="615"/>
      <c r="AA423" s="615"/>
      <c r="AB423" s="615"/>
      <c r="AC423" s="615"/>
      <c r="AD423" s="615"/>
      <c r="AE423" s="917"/>
      <c r="AF423" s="624"/>
      <c r="AG423" s="917"/>
      <c r="AH423" s="625"/>
      <c r="AI423" s="625"/>
      <c r="AJ423" s="625"/>
      <c r="AK423" s="625"/>
      <c r="AL423" s="626"/>
      <c r="AM423"/>
      <c r="AN423" s="243"/>
    </row>
    <row r="424" spans="1:60" s="4" customFormat="1" ht="12.75" customHeight="1">
      <c r="A424" s="37"/>
      <c r="B424" s="21"/>
      <c r="C424" s="21"/>
      <c r="D424" s="21"/>
      <c r="E424" s="170"/>
      <c r="F424" s="286"/>
      <c r="G424" s="26"/>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37"/>
      <c r="AF424" s="3"/>
      <c r="AG424" s="37"/>
      <c r="AM424"/>
      <c r="AN424" s="243"/>
    </row>
    <row r="425" spans="1:60" s="4" customFormat="1" ht="12.75" customHeight="1">
      <c r="A425" s="37"/>
      <c r="B425" s="21"/>
      <c r="C425" s="160" t="s">
        <v>2076</v>
      </c>
      <c r="D425" s="21"/>
      <c r="E425" s="170"/>
      <c r="F425" s="26"/>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E425" s="37"/>
      <c r="AF425" s="3"/>
      <c r="AG425" s="37"/>
      <c r="AM425"/>
      <c r="AN425" s="243"/>
    </row>
    <row r="426" spans="1:60" s="4" customFormat="1" ht="12.75" customHeight="1">
      <c r="A426" s="37"/>
      <c r="B426" s="21"/>
      <c r="C426" s="609"/>
      <c r="D426" s="610"/>
      <c r="E426" s="611" t="s">
        <v>2077</v>
      </c>
      <c r="F426" s="1608" t="s">
        <v>2078</v>
      </c>
      <c r="G426" s="1608"/>
      <c r="H426" s="1608"/>
      <c r="I426" s="1608"/>
      <c r="J426" s="1608"/>
      <c r="K426" s="1608"/>
      <c r="L426" s="1608"/>
      <c r="M426" s="1608"/>
      <c r="N426" s="1608"/>
      <c r="O426" s="1608"/>
      <c r="P426" s="1608"/>
      <c r="Q426" s="1608"/>
      <c r="R426" s="1608"/>
      <c r="S426" s="1608"/>
      <c r="T426" s="1608"/>
      <c r="U426" s="1608"/>
      <c r="V426" s="1608"/>
      <c r="W426" s="1608"/>
      <c r="X426" s="1608"/>
      <c r="Y426" s="1608"/>
      <c r="Z426" s="1608"/>
      <c r="AA426" s="1608"/>
      <c r="AB426" s="1608"/>
      <c r="AC426" s="1608"/>
      <c r="AD426" s="1608"/>
      <c r="AE426" s="1608"/>
      <c r="AF426" s="610"/>
      <c r="AG426" s="610"/>
      <c r="AH426" s="610"/>
      <c r="AI426" s="610"/>
      <c r="AJ426" s="610"/>
      <c r="AK426" s="610"/>
      <c r="AL426" s="632"/>
      <c r="AM426"/>
      <c r="AN426" s="243"/>
    </row>
    <row r="427" spans="1:60" s="4" customFormat="1" ht="12.75" customHeight="1">
      <c r="A427" s="37"/>
      <c r="B427" s="21"/>
      <c r="C427" s="616"/>
      <c r="D427" s="21"/>
      <c r="E427" s="170"/>
      <c r="F427" s="1582"/>
      <c r="G427" s="1582"/>
      <c r="H427" s="1582"/>
      <c r="I427" s="1582"/>
      <c r="J427" s="1582"/>
      <c r="K427" s="1582"/>
      <c r="L427" s="1582"/>
      <c r="M427" s="1582"/>
      <c r="N427" s="1582"/>
      <c r="O427" s="1582"/>
      <c r="P427" s="1582"/>
      <c r="Q427" s="1582"/>
      <c r="R427" s="1582"/>
      <c r="S427" s="1582"/>
      <c r="T427" s="1582"/>
      <c r="U427" s="1582"/>
      <c r="V427" s="1582"/>
      <c r="W427" s="1582"/>
      <c r="X427" s="1582"/>
      <c r="Y427" s="1582"/>
      <c r="Z427" s="1582"/>
      <c r="AA427" s="1582"/>
      <c r="AB427" s="1582"/>
      <c r="AC427" s="1582"/>
      <c r="AD427" s="1582"/>
      <c r="AE427" s="1582"/>
      <c r="AF427" s="3"/>
      <c r="AG427" s="37"/>
      <c r="AL427" s="617"/>
      <c r="AM427"/>
      <c r="AN427" s="243"/>
    </row>
    <row r="428" spans="1:60" s="4" customFormat="1" ht="12.6" customHeight="1">
      <c r="A428" s="37"/>
      <c r="B428" s="21"/>
      <c r="C428" s="616"/>
      <c r="D428" s="21"/>
      <c r="E428" s="170"/>
      <c r="F428" s="1582"/>
      <c r="G428" s="1582"/>
      <c r="H428" s="1582"/>
      <c r="I428" s="1582"/>
      <c r="J428" s="1582"/>
      <c r="K428" s="1582"/>
      <c r="L428" s="1582"/>
      <c r="M428" s="1582"/>
      <c r="N428" s="1582"/>
      <c r="O428" s="1582"/>
      <c r="P428" s="1582"/>
      <c r="Q428" s="1582"/>
      <c r="R428" s="1582"/>
      <c r="S428" s="1582"/>
      <c r="T428" s="1582"/>
      <c r="U428" s="1582"/>
      <c r="V428" s="1582"/>
      <c r="W428" s="1582"/>
      <c r="X428" s="1582"/>
      <c r="Y428" s="1582"/>
      <c r="Z428" s="1582"/>
      <c r="AA428" s="1582"/>
      <c r="AB428" s="1582"/>
      <c r="AC428" s="1582"/>
      <c r="AD428" s="1582"/>
      <c r="AE428" s="1582"/>
      <c r="AL428" s="617"/>
      <c r="AM428"/>
      <c r="AN428" s="243"/>
    </row>
    <row r="429" spans="1:60" s="4" customFormat="1" ht="12.75" customHeight="1">
      <c r="A429" s="37"/>
      <c r="B429" s="21"/>
      <c r="C429" s="1612" t="s">
        <v>826</v>
      </c>
      <c r="D429" s="1069"/>
      <c r="E429" s="170"/>
      <c r="F429" s="286" t="s">
        <v>2079</v>
      </c>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F429" s="1593" t="s">
        <v>2055</v>
      </c>
      <c r="AG429" s="1593"/>
      <c r="AH429" s="1593"/>
      <c r="AI429" s="1593"/>
      <c r="AJ429" s="1593"/>
      <c r="AK429" s="1593"/>
      <c r="AL429" s="1617"/>
      <c r="AM429"/>
      <c r="AN429" s="243"/>
    </row>
    <row r="430" spans="1:60" s="4" customFormat="1" ht="12.75" customHeight="1">
      <c r="A430" s="37"/>
      <c r="B430" s="21"/>
      <c r="C430" s="739"/>
      <c r="D430" s="637"/>
      <c r="E430" s="614"/>
      <c r="F430" s="631"/>
      <c r="G430" s="615"/>
      <c r="H430" s="615"/>
      <c r="I430" s="615"/>
      <c r="J430" s="615"/>
      <c r="K430" s="615"/>
      <c r="L430" s="615"/>
      <c r="M430" s="615"/>
      <c r="N430" s="615"/>
      <c r="O430" s="615"/>
      <c r="P430" s="615"/>
      <c r="Q430" s="615"/>
      <c r="R430" s="615"/>
      <c r="S430" s="615"/>
      <c r="T430" s="615"/>
      <c r="U430" s="615"/>
      <c r="V430" s="615"/>
      <c r="W430" s="615"/>
      <c r="X430" s="615"/>
      <c r="Y430" s="615"/>
      <c r="Z430" s="615"/>
      <c r="AA430" s="615"/>
      <c r="AB430" s="615"/>
      <c r="AC430" s="615"/>
      <c r="AD430" s="615"/>
      <c r="AE430" s="625"/>
      <c r="AF430" s="639"/>
      <c r="AG430" s="639"/>
      <c r="AH430" s="639"/>
      <c r="AI430" s="639"/>
      <c r="AJ430" s="639"/>
      <c r="AK430" s="639"/>
      <c r="AL430" s="738"/>
      <c r="AM430"/>
      <c r="AN430" s="243"/>
    </row>
    <row r="431" spans="1:60" s="4" customFormat="1" ht="12.75" customHeight="1">
      <c r="A431" s="37"/>
      <c r="B431" s="21"/>
      <c r="C431" s="1"/>
      <c r="D431" s="1"/>
      <c r="E431" s="191"/>
      <c r="F431" s="286"/>
      <c r="G431" s="26"/>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37"/>
      <c r="AM431"/>
      <c r="AN431" s="243"/>
    </row>
    <row r="432" spans="1:60" ht="13.35" customHeight="1">
      <c r="A432" s="37"/>
      <c r="C432" s="628"/>
      <c r="D432" s="629"/>
      <c r="E432" s="611" t="s">
        <v>2080</v>
      </c>
      <c r="F432" s="1608" t="s">
        <v>2081</v>
      </c>
      <c r="G432" s="1608"/>
      <c r="H432" s="1608"/>
      <c r="I432" s="1608"/>
      <c r="J432" s="1608"/>
      <c r="K432" s="1608"/>
      <c r="L432" s="1608"/>
      <c r="M432" s="1608"/>
      <c r="N432" s="1608"/>
      <c r="O432" s="1608"/>
      <c r="P432" s="1608"/>
      <c r="Q432" s="1608"/>
      <c r="R432" s="1608"/>
      <c r="S432" s="1608"/>
      <c r="T432" s="1608"/>
      <c r="U432" s="1608"/>
      <c r="V432" s="1608"/>
      <c r="W432" s="1608"/>
      <c r="X432" s="1608"/>
      <c r="Y432" s="1608"/>
      <c r="Z432" s="1608"/>
      <c r="AA432" s="1608"/>
      <c r="AB432" s="1608"/>
      <c r="AC432" s="1608"/>
      <c r="AD432" s="1608"/>
      <c r="AE432" s="1608"/>
      <c r="AF432" s="629"/>
      <c r="AG432" s="629"/>
      <c r="AH432" s="629"/>
      <c r="AI432" s="629"/>
      <c r="AJ432" s="629"/>
      <c r="AK432" s="629"/>
      <c r="AL432" s="630"/>
      <c r="AM432"/>
      <c r="AO432" s="4"/>
      <c r="AP432" s="4"/>
      <c r="BD432" s="21"/>
      <c r="BE432" s="21"/>
      <c r="BF432" s="21"/>
      <c r="BG432" s="21"/>
      <c r="BH432" s="21"/>
    </row>
    <row r="433" spans="1:49">
      <c r="A433" s="37"/>
      <c r="C433" s="616"/>
      <c r="E433" s="170"/>
      <c r="F433" s="1582"/>
      <c r="G433" s="1582"/>
      <c r="H433" s="1582"/>
      <c r="I433" s="1582"/>
      <c r="J433" s="1582"/>
      <c r="K433" s="1582"/>
      <c r="L433" s="1582"/>
      <c r="M433" s="1582"/>
      <c r="N433" s="1582"/>
      <c r="O433" s="1582"/>
      <c r="P433" s="1582"/>
      <c r="Q433" s="1582"/>
      <c r="R433" s="1582"/>
      <c r="S433" s="1582"/>
      <c r="T433" s="1582"/>
      <c r="U433" s="1582"/>
      <c r="V433" s="1582"/>
      <c r="W433" s="1582"/>
      <c r="X433" s="1582"/>
      <c r="Y433" s="1582"/>
      <c r="Z433" s="1582"/>
      <c r="AA433" s="1582"/>
      <c r="AB433" s="1582"/>
      <c r="AC433" s="1582"/>
      <c r="AD433" s="1582"/>
      <c r="AE433" s="1582"/>
      <c r="AF433" s="88"/>
      <c r="AG433" s="88"/>
      <c r="AH433" s="88"/>
      <c r="AI433" s="88"/>
      <c r="AJ433" s="88"/>
      <c r="AK433" s="88"/>
      <c r="AL433" s="692"/>
      <c r="AM433"/>
      <c r="AO433" s="4"/>
      <c r="AP433" s="4"/>
    </row>
    <row r="434" spans="1:49" s="4" customFormat="1" ht="12.75" customHeight="1">
      <c r="A434" s="37"/>
      <c r="B434" s="21"/>
      <c r="C434" s="616"/>
      <c r="D434" s="21"/>
      <c r="E434" s="170"/>
      <c r="F434" s="1582"/>
      <c r="G434" s="1582"/>
      <c r="H434" s="1582"/>
      <c r="I434" s="1582"/>
      <c r="J434" s="1582"/>
      <c r="K434" s="1582"/>
      <c r="L434" s="1582"/>
      <c r="M434" s="1582"/>
      <c r="N434" s="1582"/>
      <c r="O434" s="1582"/>
      <c r="P434" s="1582"/>
      <c r="Q434" s="1582"/>
      <c r="R434" s="1582"/>
      <c r="S434" s="1582"/>
      <c r="T434" s="1582"/>
      <c r="U434" s="1582"/>
      <c r="V434" s="1582"/>
      <c r="W434" s="1582"/>
      <c r="X434" s="1582"/>
      <c r="Y434" s="1582"/>
      <c r="Z434" s="1582"/>
      <c r="AA434" s="1582"/>
      <c r="AB434" s="1582"/>
      <c r="AC434" s="1582"/>
      <c r="AD434" s="1582"/>
      <c r="AE434" s="1582"/>
      <c r="AF434" s="88"/>
      <c r="AG434" s="88"/>
      <c r="AH434" s="88"/>
      <c r="AI434" s="88"/>
      <c r="AJ434" s="88"/>
      <c r="AK434" s="88"/>
      <c r="AL434" s="692"/>
      <c r="AM434"/>
      <c r="AN434" s="243"/>
    </row>
    <row r="435" spans="1:49" s="4" customFormat="1" ht="12.75" customHeight="1">
      <c r="A435" s="37"/>
      <c r="B435" s="21"/>
      <c r="C435" s="633"/>
      <c r="D435" s="1"/>
      <c r="E435" s="191"/>
      <c r="F435" s="1582"/>
      <c r="G435" s="1582"/>
      <c r="H435" s="1582"/>
      <c r="I435" s="1582"/>
      <c r="J435" s="1582"/>
      <c r="K435" s="1582"/>
      <c r="L435" s="1582"/>
      <c r="M435" s="1582"/>
      <c r="N435" s="1582"/>
      <c r="O435" s="1582"/>
      <c r="P435" s="1582"/>
      <c r="Q435" s="1582"/>
      <c r="R435" s="1582"/>
      <c r="S435" s="1582"/>
      <c r="T435" s="1582"/>
      <c r="U435" s="1582"/>
      <c r="V435" s="1582"/>
      <c r="W435" s="1582"/>
      <c r="X435" s="1582"/>
      <c r="Y435" s="1582"/>
      <c r="Z435" s="1582"/>
      <c r="AA435" s="1582"/>
      <c r="AB435" s="1582"/>
      <c r="AC435" s="1582"/>
      <c r="AD435" s="1582"/>
      <c r="AE435" s="1582"/>
      <c r="AF435" s="88"/>
      <c r="AG435" s="88"/>
      <c r="AH435" s="88"/>
      <c r="AI435" s="88"/>
      <c r="AJ435" s="88"/>
      <c r="AK435" s="88"/>
      <c r="AL435" s="692"/>
      <c r="AM435"/>
      <c r="AN435" s="243"/>
      <c r="AO435" s="34"/>
      <c r="AP435" s="21"/>
    </row>
    <row r="436" spans="1:49" s="4" customFormat="1" ht="12.75" customHeight="1">
      <c r="A436" s="37"/>
      <c r="B436" s="21"/>
      <c r="C436" s="633"/>
      <c r="D436" s="1"/>
      <c r="E436" s="191"/>
      <c r="F436" s="1582"/>
      <c r="G436" s="1582"/>
      <c r="H436" s="1582"/>
      <c r="I436" s="1582"/>
      <c r="J436" s="1582"/>
      <c r="K436" s="1582"/>
      <c r="L436" s="1582"/>
      <c r="M436" s="1582"/>
      <c r="N436" s="1582"/>
      <c r="O436" s="1582"/>
      <c r="P436" s="1582"/>
      <c r="Q436" s="1582"/>
      <c r="R436" s="1582"/>
      <c r="S436" s="1582"/>
      <c r="T436" s="1582"/>
      <c r="U436" s="1582"/>
      <c r="V436" s="1582"/>
      <c r="W436" s="1582"/>
      <c r="X436" s="1582"/>
      <c r="Y436" s="1582"/>
      <c r="Z436" s="1582"/>
      <c r="AA436" s="1582"/>
      <c r="AB436" s="1582"/>
      <c r="AC436" s="1582"/>
      <c r="AD436" s="1582"/>
      <c r="AE436" s="1582"/>
      <c r="AF436" s="88"/>
      <c r="AG436" s="88"/>
      <c r="AH436" s="88"/>
      <c r="AI436" s="88"/>
      <c r="AJ436" s="88"/>
      <c r="AK436" s="88"/>
      <c r="AL436" s="692"/>
      <c r="AM436"/>
      <c r="AN436" s="243"/>
    </row>
    <row r="437" spans="1:49" s="4" customFormat="1" ht="12.75" customHeight="1">
      <c r="A437" s="37"/>
      <c r="B437" s="21"/>
      <c r="C437" s="633"/>
      <c r="D437" s="1"/>
      <c r="E437" s="191"/>
      <c r="F437" s="1582"/>
      <c r="G437" s="1582"/>
      <c r="H437" s="1582"/>
      <c r="I437" s="1582"/>
      <c r="J437" s="1582"/>
      <c r="K437" s="1582"/>
      <c r="L437" s="1582"/>
      <c r="M437" s="1582"/>
      <c r="N437" s="1582"/>
      <c r="O437" s="1582"/>
      <c r="P437" s="1582"/>
      <c r="Q437" s="1582"/>
      <c r="R437" s="1582"/>
      <c r="S437" s="1582"/>
      <c r="T437" s="1582"/>
      <c r="U437" s="1582"/>
      <c r="V437" s="1582"/>
      <c r="W437" s="1582"/>
      <c r="X437" s="1582"/>
      <c r="Y437" s="1582"/>
      <c r="Z437" s="1582"/>
      <c r="AA437" s="1582"/>
      <c r="AB437" s="1582"/>
      <c r="AC437" s="1582"/>
      <c r="AD437" s="1582"/>
      <c r="AE437" s="1582"/>
      <c r="AF437" s="88"/>
      <c r="AG437" s="88"/>
      <c r="AH437" s="88"/>
      <c r="AI437" s="88"/>
      <c r="AJ437" s="88"/>
      <c r="AK437" s="88"/>
      <c r="AL437" s="692"/>
      <c r="AM437"/>
      <c r="AN437" s="243"/>
    </row>
    <row r="438" spans="1:49" s="4" customFormat="1" ht="12.75" customHeight="1">
      <c r="A438" s="37"/>
      <c r="B438" s="21"/>
      <c r="C438" s="633"/>
      <c r="D438" s="1"/>
      <c r="E438" s="191"/>
      <c r="F438" s="1582"/>
      <c r="G438" s="1582"/>
      <c r="H438" s="1582"/>
      <c r="I438" s="1582"/>
      <c r="J438" s="1582"/>
      <c r="K438" s="1582"/>
      <c r="L438" s="1582"/>
      <c r="M438" s="1582"/>
      <c r="N438" s="1582"/>
      <c r="O438" s="1582"/>
      <c r="P438" s="1582"/>
      <c r="Q438" s="1582"/>
      <c r="R438" s="1582"/>
      <c r="S438" s="1582"/>
      <c r="T438" s="1582"/>
      <c r="U438" s="1582"/>
      <c r="V438" s="1582"/>
      <c r="W438" s="1582"/>
      <c r="X438" s="1582"/>
      <c r="Y438" s="1582"/>
      <c r="Z438" s="1582"/>
      <c r="AA438" s="1582"/>
      <c r="AB438" s="1582"/>
      <c r="AC438" s="1582"/>
      <c r="AD438" s="1582"/>
      <c r="AE438" s="1582"/>
      <c r="AF438" s="88"/>
      <c r="AG438" s="88"/>
      <c r="AH438" s="88"/>
      <c r="AI438" s="88"/>
      <c r="AJ438" s="88"/>
      <c r="AK438" s="88"/>
      <c r="AL438" s="692"/>
      <c r="AM438"/>
      <c r="AN438" s="243"/>
    </row>
    <row r="439" spans="1:49" s="4" customFormat="1" ht="12.75" customHeight="1">
      <c r="A439" s="37"/>
      <c r="B439" s="21"/>
      <c r="C439" s="633"/>
      <c r="D439" s="1"/>
      <c r="E439" s="191"/>
      <c r="F439" s="1582"/>
      <c r="G439" s="1582"/>
      <c r="H439" s="1582"/>
      <c r="I439" s="1582"/>
      <c r="J439" s="1582"/>
      <c r="K439" s="1582"/>
      <c r="L439" s="1582"/>
      <c r="M439" s="1582"/>
      <c r="N439" s="1582"/>
      <c r="O439" s="1582"/>
      <c r="P439" s="1582"/>
      <c r="Q439" s="1582"/>
      <c r="R439" s="1582"/>
      <c r="S439" s="1582"/>
      <c r="T439" s="1582"/>
      <c r="U439" s="1582"/>
      <c r="V439" s="1582"/>
      <c r="W439" s="1582"/>
      <c r="X439" s="1582"/>
      <c r="Y439" s="1582"/>
      <c r="Z439" s="1582"/>
      <c r="AA439" s="1582"/>
      <c r="AB439" s="1582"/>
      <c r="AC439" s="1582"/>
      <c r="AD439" s="1582"/>
      <c r="AE439" s="1582"/>
      <c r="AF439" s="88"/>
      <c r="AG439" s="88"/>
      <c r="AH439" s="88"/>
      <c r="AI439" s="88"/>
      <c r="AJ439" s="88"/>
      <c r="AK439" s="88"/>
      <c r="AL439" s="692"/>
      <c r="AM439"/>
      <c r="AN439" s="243"/>
    </row>
    <row r="440" spans="1:49" s="4" customFormat="1" ht="17.25" customHeight="1">
      <c r="A440" s="37"/>
      <c r="B440" s="21"/>
      <c r="C440" s="633"/>
      <c r="D440" s="1"/>
      <c r="E440" s="191"/>
      <c r="F440" s="1582"/>
      <c r="G440" s="1582"/>
      <c r="H440" s="1582"/>
      <c r="I440" s="1582"/>
      <c r="J440" s="1582"/>
      <c r="K440" s="1582"/>
      <c r="L440" s="1582"/>
      <c r="M440" s="1582"/>
      <c r="N440" s="1582"/>
      <c r="O440" s="1582"/>
      <c r="P440" s="1582"/>
      <c r="Q440" s="1582"/>
      <c r="R440" s="1582"/>
      <c r="S440" s="1582"/>
      <c r="T440" s="1582"/>
      <c r="U440" s="1582"/>
      <c r="V440" s="1582"/>
      <c r="W440" s="1582"/>
      <c r="X440" s="1582"/>
      <c r="Y440" s="1582"/>
      <c r="Z440" s="1582"/>
      <c r="AA440" s="1582"/>
      <c r="AB440" s="1582"/>
      <c r="AC440" s="1582"/>
      <c r="AD440" s="1582"/>
      <c r="AE440" s="1582"/>
      <c r="AL440" s="617"/>
      <c r="AM440"/>
      <c r="AN440" s="243"/>
    </row>
    <row r="441" spans="1:49" s="4" customFormat="1" ht="12.75" customHeight="1">
      <c r="A441" s="37"/>
      <c r="B441" s="21"/>
      <c r="C441" s="1612" t="s">
        <v>826</v>
      </c>
      <c r="D441" s="1069"/>
      <c r="E441" s="191"/>
      <c r="F441" s="20" t="s">
        <v>2082</v>
      </c>
      <c r="G441" s="42"/>
      <c r="H441" s="42"/>
      <c r="I441" s="42"/>
      <c r="J441" s="42"/>
      <c r="K441" s="42"/>
      <c r="L441" s="42"/>
      <c r="M441" s="42"/>
      <c r="N441" s="42"/>
      <c r="O441" s="42"/>
      <c r="P441" s="42"/>
      <c r="Q441" s="42"/>
      <c r="R441" s="42"/>
      <c r="S441" s="42"/>
      <c r="T441" s="42"/>
      <c r="U441" s="42"/>
      <c r="V441" s="42"/>
      <c r="W441" s="42"/>
      <c r="X441" s="42"/>
      <c r="Y441" s="42"/>
      <c r="Z441" s="42"/>
      <c r="AA441" s="42"/>
      <c r="AB441" s="42"/>
      <c r="AC441" s="42"/>
      <c r="AD441" s="42"/>
      <c r="AF441" s="1593" t="s">
        <v>2055</v>
      </c>
      <c r="AG441" s="1593"/>
      <c r="AH441" s="1593"/>
      <c r="AI441" s="1593"/>
      <c r="AJ441" s="1593"/>
      <c r="AK441" s="1593"/>
      <c r="AL441" s="1617"/>
      <c r="AM441"/>
      <c r="AN441" s="243"/>
    </row>
    <row r="442" spans="1:49" s="4" customFormat="1" ht="12.75" customHeight="1">
      <c r="A442" s="37"/>
      <c r="B442" s="21"/>
      <c r="C442" s="627"/>
      <c r="D442" s="625"/>
      <c r="E442" s="614"/>
      <c r="F442" s="623"/>
      <c r="G442" s="615"/>
      <c r="H442" s="615"/>
      <c r="I442" s="615"/>
      <c r="J442" s="615"/>
      <c r="K442" s="615"/>
      <c r="L442" s="615"/>
      <c r="M442" s="615"/>
      <c r="N442" s="615"/>
      <c r="O442" s="615"/>
      <c r="P442" s="615"/>
      <c r="Q442" s="615"/>
      <c r="R442" s="615"/>
      <c r="S442" s="615"/>
      <c r="T442" s="615"/>
      <c r="U442" s="615"/>
      <c r="V442" s="615"/>
      <c r="W442" s="615"/>
      <c r="X442" s="615"/>
      <c r="Y442" s="615"/>
      <c r="Z442" s="615"/>
      <c r="AA442" s="615"/>
      <c r="AB442" s="615"/>
      <c r="AC442" s="615"/>
      <c r="AD442" s="615"/>
      <c r="AE442" s="625"/>
      <c r="AF442" s="625"/>
      <c r="AG442" s="625"/>
      <c r="AH442" s="625"/>
      <c r="AI442" s="625"/>
      <c r="AJ442" s="625"/>
      <c r="AK442" s="625"/>
      <c r="AL442" s="626"/>
      <c r="AM442"/>
      <c r="AN442" s="243"/>
    </row>
    <row r="443" spans="1:49" s="4" customFormat="1" ht="12.75" customHeight="1">
      <c r="A443" s="37"/>
      <c r="B443" s="21"/>
      <c r="C443" s="1"/>
      <c r="D443" s="1"/>
      <c r="E443" s="191"/>
      <c r="F443" s="286"/>
      <c r="G443" s="26"/>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18"/>
      <c r="AF443" s="18"/>
      <c r="AG443" s="18"/>
      <c r="AH443" s="18"/>
      <c r="AI443" s="18"/>
      <c r="AJ443" s="18"/>
      <c r="AK443" s="18"/>
      <c r="AL443" s="18"/>
      <c r="AM443"/>
      <c r="AN443" s="243"/>
    </row>
    <row r="444" spans="1:49" s="4" customFormat="1" ht="12.75" customHeight="1">
      <c r="A444" s="37"/>
      <c r="B444" s="21"/>
      <c r="C444" s="609"/>
      <c r="D444" s="610"/>
      <c r="E444" s="611" t="s">
        <v>2083</v>
      </c>
      <c r="F444" s="1608" t="s">
        <v>2084</v>
      </c>
      <c r="G444" s="1608"/>
      <c r="H444" s="1608"/>
      <c r="I444" s="1608"/>
      <c r="J444" s="1608"/>
      <c r="K444" s="1608"/>
      <c r="L444" s="1608"/>
      <c r="M444" s="1608"/>
      <c r="N444" s="1608"/>
      <c r="O444" s="1608"/>
      <c r="P444" s="1608"/>
      <c r="Q444" s="1608"/>
      <c r="R444" s="1608"/>
      <c r="S444" s="1608"/>
      <c r="T444" s="1608"/>
      <c r="U444" s="1608"/>
      <c r="V444" s="1608"/>
      <c r="W444" s="1608"/>
      <c r="X444" s="1608"/>
      <c r="Y444" s="1608"/>
      <c r="Z444" s="1608"/>
      <c r="AA444" s="1608"/>
      <c r="AB444" s="1608"/>
      <c r="AC444" s="1608"/>
      <c r="AD444" s="1608"/>
      <c r="AE444" s="1608"/>
      <c r="AF444" s="610"/>
      <c r="AG444" s="610"/>
      <c r="AH444" s="610"/>
      <c r="AI444" s="610"/>
      <c r="AJ444" s="610"/>
      <c r="AK444" s="610"/>
      <c r="AL444" s="632"/>
      <c r="AM444"/>
      <c r="AN444" s="243"/>
    </row>
    <row r="445" spans="1:49" s="4" customFormat="1" ht="12.75" customHeight="1">
      <c r="A445" s="37"/>
      <c r="B445" s="21"/>
      <c r="C445" s="633"/>
      <c r="D445" s="1"/>
      <c r="E445" s="191"/>
      <c r="F445" s="1582"/>
      <c r="G445" s="1582"/>
      <c r="H445" s="1582"/>
      <c r="I445" s="1582"/>
      <c r="J445" s="1582"/>
      <c r="K445" s="1582"/>
      <c r="L445" s="1582"/>
      <c r="M445" s="1582"/>
      <c r="N445" s="1582"/>
      <c r="O445" s="1582"/>
      <c r="P445" s="1582"/>
      <c r="Q445" s="1582"/>
      <c r="R445" s="1582"/>
      <c r="S445" s="1582"/>
      <c r="T445" s="1582"/>
      <c r="U445" s="1582"/>
      <c r="V445" s="1582"/>
      <c r="W445" s="1582"/>
      <c r="X445" s="1582"/>
      <c r="Y445" s="1582"/>
      <c r="Z445" s="1582"/>
      <c r="AA445" s="1582"/>
      <c r="AB445" s="1582"/>
      <c r="AC445" s="1582"/>
      <c r="AD445" s="1582"/>
      <c r="AE445" s="1582"/>
      <c r="AF445" s="18"/>
      <c r="AG445" s="18"/>
      <c r="AH445" s="18"/>
      <c r="AI445" s="18"/>
      <c r="AJ445" s="18"/>
      <c r="AK445" s="18"/>
      <c r="AL445" s="689"/>
      <c r="AM445"/>
      <c r="AN445" s="243"/>
    </row>
    <row r="446" spans="1:49" s="4" customFormat="1" ht="12.75" customHeight="1">
      <c r="A446" s="37"/>
      <c r="B446" s="21"/>
      <c r="C446" s="633"/>
      <c r="D446" s="1"/>
      <c r="E446" s="191"/>
      <c r="F446" s="1582"/>
      <c r="G446" s="1582"/>
      <c r="H446" s="1582"/>
      <c r="I446" s="1582"/>
      <c r="J446" s="1582"/>
      <c r="K446" s="1582"/>
      <c r="L446" s="1582"/>
      <c r="M446" s="1582"/>
      <c r="N446" s="1582"/>
      <c r="O446" s="1582"/>
      <c r="P446" s="1582"/>
      <c r="Q446" s="1582"/>
      <c r="R446" s="1582"/>
      <c r="S446" s="1582"/>
      <c r="T446" s="1582"/>
      <c r="U446" s="1582"/>
      <c r="V446" s="1582"/>
      <c r="W446" s="1582"/>
      <c r="X446" s="1582"/>
      <c r="Y446" s="1582"/>
      <c r="Z446" s="1582"/>
      <c r="AA446" s="1582"/>
      <c r="AB446" s="1582"/>
      <c r="AC446" s="1582"/>
      <c r="AD446" s="1582"/>
      <c r="AE446" s="1582"/>
      <c r="AF446" s="18"/>
      <c r="AG446" s="18"/>
      <c r="AH446" s="18"/>
      <c r="AI446" s="18"/>
      <c r="AJ446" s="18"/>
      <c r="AK446" s="18"/>
      <c r="AL446" s="689"/>
      <c r="AM446"/>
      <c r="AN446" s="243"/>
    </row>
    <row r="447" spans="1:49" s="4" customFormat="1" ht="12.75" customHeight="1">
      <c r="A447" s="37"/>
      <c r="B447" s="21"/>
      <c r="C447" s="633"/>
      <c r="D447" s="1"/>
      <c r="E447" s="191"/>
      <c r="F447" s="1582"/>
      <c r="G447" s="1582"/>
      <c r="H447" s="1582"/>
      <c r="I447" s="1582"/>
      <c r="J447" s="1582"/>
      <c r="K447" s="1582"/>
      <c r="L447" s="1582"/>
      <c r="M447" s="1582"/>
      <c r="N447" s="1582"/>
      <c r="O447" s="1582"/>
      <c r="P447" s="1582"/>
      <c r="Q447" s="1582"/>
      <c r="R447" s="1582"/>
      <c r="S447" s="1582"/>
      <c r="T447" s="1582"/>
      <c r="U447" s="1582"/>
      <c r="V447" s="1582"/>
      <c r="W447" s="1582"/>
      <c r="X447" s="1582"/>
      <c r="Y447" s="1582"/>
      <c r="Z447" s="1582"/>
      <c r="AA447" s="1582"/>
      <c r="AB447" s="1582"/>
      <c r="AC447" s="1582"/>
      <c r="AD447" s="1582"/>
      <c r="AE447" s="1582"/>
      <c r="AL447" s="617"/>
      <c r="AM447"/>
      <c r="AN447" s="243"/>
    </row>
    <row r="448" spans="1:49" s="4" customFormat="1" ht="12.75" customHeight="1">
      <c r="A448" s="37"/>
      <c r="B448" s="21"/>
      <c r="C448" s="1612" t="s">
        <v>325</v>
      </c>
      <c r="D448" s="1069"/>
      <c r="E448" s="191"/>
      <c r="F448" s="286" t="s">
        <v>2085</v>
      </c>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F448" s="1593" t="s">
        <v>2055</v>
      </c>
      <c r="AG448" s="1593"/>
      <c r="AH448" s="1593"/>
      <c r="AI448" s="1593"/>
      <c r="AJ448" s="1593"/>
      <c r="AK448" s="1593"/>
      <c r="AL448" s="1617"/>
      <c r="AM448"/>
      <c r="AN448" s="587"/>
      <c r="AP448" s="21"/>
      <c r="AQ448" s="144"/>
      <c r="AR448" s="144"/>
      <c r="AS448" s="144"/>
      <c r="AT448" s="144"/>
      <c r="AU448" s="144"/>
      <c r="AV448" s="144"/>
      <c r="AW448" s="144"/>
    </row>
    <row r="449" spans="1:54" s="4" customFormat="1" ht="12.75" customHeight="1">
      <c r="A449" s="37"/>
      <c r="B449" s="21"/>
      <c r="C449" s="619"/>
      <c r="E449" s="170"/>
      <c r="F449" s="282"/>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L449" s="617"/>
      <c r="AM449"/>
      <c r="AN449" s="587"/>
      <c r="AQ449" s="144"/>
      <c r="AR449" s="144"/>
      <c r="AS449" s="144"/>
      <c r="AT449" s="144"/>
      <c r="AU449" s="144"/>
      <c r="AV449" s="144"/>
      <c r="AW449" s="144"/>
    </row>
    <row r="450" spans="1:54" s="4" customFormat="1" ht="12.75" customHeight="1">
      <c r="A450" s="37"/>
      <c r="B450" s="21"/>
      <c r="C450" s="620"/>
      <c r="D450" s="621"/>
      <c r="E450" s="622"/>
      <c r="F450" s="625" t="s">
        <v>2064</v>
      </c>
      <c r="G450" s="618"/>
      <c r="H450" s="618"/>
      <c r="I450" s="618"/>
      <c r="J450" s="618"/>
      <c r="K450" s="618"/>
      <c r="L450" s="618"/>
      <c r="M450" s="618"/>
      <c r="N450" s="618"/>
      <c r="O450" s="618"/>
      <c r="P450" s="618"/>
      <c r="Q450" s="618"/>
      <c r="R450" s="618"/>
      <c r="S450" s="618"/>
      <c r="T450" s="618"/>
      <c r="U450" s="618"/>
      <c r="V450" s="618"/>
      <c r="W450" s="618"/>
      <c r="X450" s="618"/>
      <c r="Y450" s="618"/>
      <c r="Z450" s="618"/>
      <c r="AA450" s="618"/>
      <c r="AB450" s="618"/>
      <c r="AC450" s="618"/>
      <c r="AD450" s="618"/>
      <c r="AE450" s="917"/>
      <c r="AF450" s="624"/>
      <c r="AG450" s="917"/>
      <c r="AH450" s="625"/>
      <c r="AI450" s="625"/>
      <c r="AJ450" s="625"/>
      <c r="AK450" s="625"/>
      <c r="AL450" s="626"/>
      <c r="AM450"/>
      <c r="AN450" s="587"/>
      <c r="AQ450" s="144"/>
      <c r="AR450" s="144"/>
      <c r="AS450" s="144"/>
      <c r="AT450" s="144"/>
      <c r="AU450" s="144"/>
      <c r="AV450" s="144"/>
      <c r="AW450" s="144"/>
    </row>
    <row r="451" spans="1:54" s="4" customFormat="1" ht="12.75" customHeight="1">
      <c r="A451" s="37"/>
      <c r="B451" s="21"/>
      <c r="C451" s="1"/>
      <c r="D451" s="1"/>
      <c r="E451" s="191"/>
      <c r="F451" s="286"/>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18"/>
      <c r="AM451"/>
      <c r="AN451" s="587"/>
      <c r="AQ451" s="144"/>
      <c r="AR451" s="144"/>
      <c r="AS451" s="144"/>
      <c r="AT451" s="144"/>
      <c r="AU451" s="144"/>
      <c r="AV451" s="144"/>
      <c r="AW451" s="144"/>
    </row>
    <row r="452" spans="1:54" s="4" customFormat="1" ht="12.75" customHeight="1">
      <c r="A452" s="37"/>
      <c r="B452" s="21"/>
      <c r="C452" s="1597" t="s">
        <v>325</v>
      </c>
      <c r="D452" s="1598"/>
      <c r="E452" s="611" t="s">
        <v>2086</v>
      </c>
      <c r="F452" s="1608" t="s">
        <v>2087</v>
      </c>
      <c r="G452" s="1608"/>
      <c r="H452" s="1608"/>
      <c r="I452" s="1608"/>
      <c r="J452" s="1608"/>
      <c r="K452" s="1608"/>
      <c r="L452" s="1608"/>
      <c r="M452" s="1608"/>
      <c r="N452" s="1608"/>
      <c r="O452" s="1608"/>
      <c r="P452" s="1608"/>
      <c r="Q452" s="1608"/>
      <c r="R452" s="1608"/>
      <c r="S452" s="1608"/>
      <c r="T452" s="1608"/>
      <c r="U452" s="1608"/>
      <c r="V452" s="1608"/>
      <c r="W452" s="1608"/>
      <c r="X452" s="1608"/>
      <c r="Y452" s="1608"/>
      <c r="Z452" s="1608"/>
      <c r="AA452" s="1608"/>
      <c r="AB452" s="1608"/>
      <c r="AC452" s="1608"/>
      <c r="AD452" s="1608"/>
      <c r="AE452" s="1608"/>
      <c r="AF452" s="1613" t="s">
        <v>2055</v>
      </c>
      <c r="AG452" s="1613"/>
      <c r="AH452" s="1613"/>
      <c r="AI452" s="1613"/>
      <c r="AJ452" s="1613"/>
      <c r="AK452" s="1613"/>
      <c r="AL452" s="1614"/>
      <c r="AM452"/>
      <c r="AN452" s="587"/>
      <c r="AQ452" s="144"/>
    </row>
    <row r="453" spans="1:54" s="4" customFormat="1" ht="12.75" customHeight="1">
      <c r="A453" s="37"/>
      <c r="B453" s="21"/>
      <c r="C453" s="633"/>
      <c r="D453" s="1"/>
      <c r="E453" s="191"/>
      <c r="F453" s="1582"/>
      <c r="G453" s="1582"/>
      <c r="H453" s="1582"/>
      <c r="I453" s="1582"/>
      <c r="J453" s="1582"/>
      <c r="K453" s="1582"/>
      <c r="L453" s="1582"/>
      <c r="M453" s="1582"/>
      <c r="N453" s="1582"/>
      <c r="O453" s="1582"/>
      <c r="P453" s="1582"/>
      <c r="Q453" s="1582"/>
      <c r="R453" s="1582"/>
      <c r="S453" s="1582"/>
      <c r="T453" s="1582"/>
      <c r="U453" s="1582"/>
      <c r="V453" s="1582"/>
      <c r="W453" s="1582"/>
      <c r="X453" s="1582"/>
      <c r="Y453" s="1582"/>
      <c r="Z453" s="1582"/>
      <c r="AA453" s="1582"/>
      <c r="AB453" s="1582"/>
      <c r="AC453" s="1582"/>
      <c r="AD453" s="1582"/>
      <c r="AE453" s="1582"/>
      <c r="AF453" s="18"/>
      <c r="AG453" s="18"/>
      <c r="AH453" s="18"/>
      <c r="AI453" s="18"/>
      <c r="AJ453" s="18"/>
      <c r="AK453" s="18"/>
      <c r="AL453" s="689"/>
      <c r="AM453"/>
      <c r="AN453" s="588"/>
      <c r="AO453" s="4" t="s">
        <v>325</v>
      </c>
      <c r="AP453" s="4">
        <v>0</v>
      </c>
      <c r="AQ453" s="144"/>
    </row>
    <row r="454" spans="1:54" s="4" customFormat="1" ht="21.75" customHeight="1">
      <c r="A454" s="37"/>
      <c r="B454" s="21"/>
      <c r="C454" s="612"/>
      <c r="D454" s="613"/>
      <c r="E454" s="614"/>
      <c r="F454" s="1609"/>
      <c r="G454" s="1609"/>
      <c r="H454" s="1609"/>
      <c r="I454" s="1609"/>
      <c r="J454" s="1609"/>
      <c r="K454" s="1609"/>
      <c r="L454" s="1609"/>
      <c r="M454" s="1609"/>
      <c r="N454" s="1609"/>
      <c r="O454" s="1609"/>
      <c r="P454" s="1609"/>
      <c r="Q454" s="1609"/>
      <c r="R454" s="1609"/>
      <c r="S454" s="1609"/>
      <c r="T454" s="1609"/>
      <c r="U454" s="1609"/>
      <c r="V454" s="1609"/>
      <c r="W454" s="1609"/>
      <c r="X454" s="1609"/>
      <c r="Y454" s="1609"/>
      <c r="Z454" s="1609"/>
      <c r="AA454" s="1609"/>
      <c r="AB454" s="1609"/>
      <c r="AC454" s="1609"/>
      <c r="AD454" s="1609"/>
      <c r="AE454" s="1609"/>
      <c r="AF454" s="690"/>
      <c r="AG454" s="690"/>
      <c r="AH454" s="690"/>
      <c r="AI454" s="690"/>
      <c r="AJ454" s="690"/>
      <c r="AK454" s="690"/>
      <c r="AL454" s="691"/>
      <c r="AM454"/>
      <c r="AN454" s="907"/>
      <c r="AO454" s="4" t="s">
        <v>2088</v>
      </c>
      <c r="AP454" s="4">
        <v>5</v>
      </c>
      <c r="AQ454" s="144"/>
    </row>
    <row r="455" spans="1:54" s="4" customFormat="1" ht="12.75" customHeight="1">
      <c r="A455" s="37"/>
      <c r="B455" s="21"/>
      <c r="C455" s="1"/>
      <c r="D455" s="1"/>
      <c r="E455" s="191"/>
      <c r="F455" s="286"/>
      <c r="G455" s="26"/>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18"/>
      <c r="AM455"/>
      <c r="AN455" s="907"/>
      <c r="AO455" s="4" t="s">
        <v>2089</v>
      </c>
      <c r="AP455" s="4">
        <v>5</v>
      </c>
      <c r="AQ455" s="144"/>
    </row>
    <row r="456" spans="1:54" s="4" customFormat="1" ht="12.75" customHeight="1">
      <c r="A456" s="37"/>
      <c r="B456" s="21"/>
      <c r="C456" s="1597" t="s">
        <v>325</v>
      </c>
      <c r="D456" s="1598"/>
      <c r="E456" s="611" t="s">
        <v>2090</v>
      </c>
      <c r="F456" s="1608" t="s">
        <v>2091</v>
      </c>
      <c r="G456" s="1608"/>
      <c r="H456" s="1608"/>
      <c r="I456" s="1608"/>
      <c r="J456" s="1608"/>
      <c r="K456" s="1608"/>
      <c r="L456" s="1608"/>
      <c r="M456" s="1608"/>
      <c r="N456" s="1608"/>
      <c r="O456" s="1608"/>
      <c r="P456" s="1608"/>
      <c r="Q456" s="1608"/>
      <c r="R456" s="1608"/>
      <c r="S456" s="1608"/>
      <c r="T456" s="1608"/>
      <c r="U456" s="1608"/>
      <c r="V456" s="1608"/>
      <c r="W456" s="1608"/>
      <c r="X456" s="1608"/>
      <c r="Y456" s="1608"/>
      <c r="Z456" s="1608"/>
      <c r="AA456" s="1608"/>
      <c r="AB456" s="1608"/>
      <c r="AC456" s="1608"/>
      <c r="AD456" s="1608"/>
      <c r="AE456" s="1608"/>
      <c r="AF456" s="1613" t="s">
        <v>2055</v>
      </c>
      <c r="AG456" s="1613"/>
      <c r="AH456" s="1613"/>
      <c r="AI456" s="1613"/>
      <c r="AJ456" s="1613"/>
      <c r="AK456" s="1613"/>
      <c r="AL456" s="1614"/>
      <c r="AM456"/>
      <c r="AN456" s="907"/>
      <c r="AO456" s="4" t="s">
        <v>2092</v>
      </c>
      <c r="AP456" s="4">
        <v>5</v>
      </c>
      <c r="AQ456" s="37"/>
    </row>
    <row r="457" spans="1:54" s="4" customFormat="1" ht="12.75" customHeight="1">
      <c r="A457" s="37"/>
      <c r="B457" s="21"/>
      <c r="C457" s="616"/>
      <c r="D457" s="21"/>
      <c r="E457" s="170"/>
      <c r="F457" s="1582"/>
      <c r="G457" s="1582"/>
      <c r="H457" s="1582"/>
      <c r="I457" s="1582"/>
      <c r="J457" s="1582"/>
      <c r="K457" s="1582"/>
      <c r="L457" s="1582"/>
      <c r="M457" s="1582"/>
      <c r="N457" s="1582"/>
      <c r="O457" s="1582"/>
      <c r="P457" s="1582"/>
      <c r="Q457" s="1582"/>
      <c r="R457" s="1582"/>
      <c r="S457" s="1582"/>
      <c r="T457" s="1582"/>
      <c r="U457" s="1582"/>
      <c r="V457" s="1582"/>
      <c r="W457" s="1582"/>
      <c r="X457" s="1582"/>
      <c r="Y457" s="1582"/>
      <c r="Z457" s="1582"/>
      <c r="AA457" s="1582"/>
      <c r="AB457" s="1582"/>
      <c r="AC457" s="1582"/>
      <c r="AD457" s="1582"/>
      <c r="AE457" s="1582"/>
      <c r="AF457" s="3"/>
      <c r="AG457" s="37"/>
      <c r="AL457" s="617"/>
      <c r="AM457"/>
      <c r="AN457" s="907"/>
      <c r="AO457" s="4" t="s">
        <v>2093</v>
      </c>
      <c r="AP457" s="4">
        <v>5</v>
      </c>
    </row>
    <row r="458" spans="1:54" s="4" customFormat="1" ht="12.75" customHeight="1">
      <c r="A458" s="37"/>
      <c r="B458" s="21"/>
      <c r="C458" s="616"/>
      <c r="D458" s="21"/>
      <c r="E458" s="170"/>
      <c r="F458" s="1582"/>
      <c r="G458" s="1582"/>
      <c r="H458" s="1582"/>
      <c r="I458" s="1582"/>
      <c r="J458" s="1582"/>
      <c r="K458" s="1582"/>
      <c r="L458" s="1582"/>
      <c r="M458" s="1582"/>
      <c r="N458" s="1582"/>
      <c r="O458" s="1582"/>
      <c r="P458" s="1582"/>
      <c r="Q458" s="1582"/>
      <c r="R458" s="1582"/>
      <c r="S458" s="1582"/>
      <c r="T458" s="1582"/>
      <c r="U458" s="1582"/>
      <c r="V458" s="1582"/>
      <c r="W458" s="1582"/>
      <c r="X458" s="1582"/>
      <c r="Y458" s="1582"/>
      <c r="Z458" s="1582"/>
      <c r="AA458" s="1582"/>
      <c r="AB458" s="1582"/>
      <c r="AC458" s="1582"/>
      <c r="AD458" s="1582"/>
      <c r="AE458" s="1582"/>
      <c r="AF458" s="3"/>
      <c r="AG458" s="37"/>
      <c r="AL458" s="617"/>
      <c r="AM458"/>
      <c r="AN458" s="907"/>
      <c r="AO458" s="4" t="s">
        <v>2094</v>
      </c>
      <c r="AP458" s="4">
        <v>5</v>
      </c>
    </row>
    <row r="459" spans="1:54" s="4" customFormat="1" ht="4.5" customHeight="1">
      <c r="A459" s="37"/>
      <c r="B459" s="21"/>
      <c r="C459" s="612"/>
      <c r="D459" s="613"/>
      <c r="E459" s="614"/>
      <c r="F459" s="1609"/>
      <c r="G459" s="1609"/>
      <c r="H459" s="1609"/>
      <c r="I459" s="1609"/>
      <c r="J459" s="1609"/>
      <c r="K459" s="1609"/>
      <c r="L459" s="1609"/>
      <c r="M459" s="1609"/>
      <c r="N459" s="1609"/>
      <c r="O459" s="1609"/>
      <c r="P459" s="1609"/>
      <c r="Q459" s="1609"/>
      <c r="R459" s="1609"/>
      <c r="S459" s="1609"/>
      <c r="T459" s="1609"/>
      <c r="U459" s="1609"/>
      <c r="V459" s="1609"/>
      <c r="W459" s="1609"/>
      <c r="X459" s="1609"/>
      <c r="Y459" s="1609"/>
      <c r="Z459" s="1609"/>
      <c r="AA459" s="1609"/>
      <c r="AB459" s="1609"/>
      <c r="AC459" s="1609"/>
      <c r="AD459" s="1609"/>
      <c r="AE459" s="1609"/>
      <c r="AF459" s="690"/>
      <c r="AG459" s="690"/>
      <c r="AH459" s="690"/>
      <c r="AI459" s="690"/>
      <c r="AJ459" s="690"/>
      <c r="AK459" s="690"/>
      <c r="AL459" s="691"/>
      <c r="AM459"/>
      <c r="AN459" s="243"/>
      <c r="AO459" s="4" t="s">
        <v>2095</v>
      </c>
      <c r="AP459" s="4">
        <v>5</v>
      </c>
    </row>
    <row r="460" spans="1:54" s="4" customFormat="1" ht="12.75" customHeight="1">
      <c r="A460" s="37"/>
      <c r="B460" s="21"/>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M460"/>
      <c r="AN460" s="243"/>
      <c r="AO460" s="4" t="s">
        <v>2096</v>
      </c>
      <c r="AP460" s="4">
        <v>5</v>
      </c>
    </row>
    <row r="461" spans="1:54" s="4" customFormat="1" ht="12.75" customHeight="1">
      <c r="A461" s="37"/>
      <c r="B461" s="21"/>
      <c r="C461" s="609"/>
      <c r="D461" s="610"/>
      <c r="E461" s="611" t="s">
        <v>2097</v>
      </c>
      <c r="F461" s="1608" t="s">
        <v>2098</v>
      </c>
      <c r="G461" s="1608"/>
      <c r="H461" s="1608"/>
      <c r="I461" s="1608"/>
      <c r="J461" s="1608"/>
      <c r="K461" s="1608"/>
      <c r="L461" s="1608"/>
      <c r="M461" s="1608"/>
      <c r="N461" s="1608"/>
      <c r="O461" s="1608"/>
      <c r="P461" s="1608"/>
      <c r="Q461" s="1608"/>
      <c r="R461" s="1608"/>
      <c r="S461" s="1608"/>
      <c r="T461" s="1608"/>
      <c r="U461" s="1608"/>
      <c r="V461" s="1608"/>
      <c r="W461" s="1608"/>
      <c r="X461" s="1608"/>
      <c r="Y461" s="1608"/>
      <c r="Z461" s="1608"/>
      <c r="AA461" s="1608"/>
      <c r="AB461" s="1608"/>
      <c r="AC461" s="1608"/>
      <c r="AD461" s="1608"/>
      <c r="AE461" s="1608"/>
      <c r="AF461" s="1608"/>
      <c r="AG461" s="918"/>
      <c r="AH461" s="610"/>
      <c r="AI461" s="610"/>
      <c r="AJ461" s="610"/>
      <c r="AK461" s="610"/>
      <c r="AL461" s="632"/>
      <c r="AM461"/>
      <c r="AN461" s="243"/>
      <c r="AO461" s="4" t="s">
        <v>2099</v>
      </c>
      <c r="AP461" s="4">
        <v>1</v>
      </c>
    </row>
    <row r="462" spans="1:54" s="4" customFormat="1" ht="12.75" customHeight="1">
      <c r="A462" s="37"/>
      <c r="B462" s="21"/>
      <c r="C462" s="616"/>
      <c r="D462" s="21"/>
      <c r="E462" s="170"/>
      <c r="F462" s="1582"/>
      <c r="G462" s="1582"/>
      <c r="H462" s="1582"/>
      <c r="I462" s="1582"/>
      <c r="J462" s="1582"/>
      <c r="K462" s="1582"/>
      <c r="L462" s="1582"/>
      <c r="M462" s="1582"/>
      <c r="N462" s="1582"/>
      <c r="O462" s="1582"/>
      <c r="P462" s="1582"/>
      <c r="Q462" s="1582"/>
      <c r="R462" s="1582"/>
      <c r="S462" s="1582"/>
      <c r="T462" s="1582"/>
      <c r="U462" s="1582"/>
      <c r="V462" s="1582"/>
      <c r="W462" s="1582"/>
      <c r="X462" s="1582"/>
      <c r="Y462" s="1582"/>
      <c r="Z462" s="1582"/>
      <c r="AA462" s="1582"/>
      <c r="AB462" s="1582"/>
      <c r="AC462" s="1582"/>
      <c r="AD462" s="1582"/>
      <c r="AE462" s="1582"/>
      <c r="AF462" s="1582"/>
      <c r="AL462" s="617"/>
      <c r="AM462"/>
      <c r="AN462" s="243"/>
      <c r="AS462" s="285"/>
      <c r="AW462" s="285" t="s">
        <v>2100</v>
      </c>
      <c r="BA462" s="285" t="s">
        <v>2101</v>
      </c>
    </row>
    <row r="463" spans="1:54" s="4" customFormat="1" ht="12.75" customHeight="1">
      <c r="A463" s="37"/>
      <c r="B463" s="21"/>
      <c r="C463" s="619"/>
      <c r="F463" s="1582"/>
      <c r="G463" s="1582"/>
      <c r="H463" s="1582"/>
      <c r="I463" s="1582"/>
      <c r="J463" s="1582"/>
      <c r="K463" s="1582"/>
      <c r="L463" s="1582"/>
      <c r="M463" s="1582"/>
      <c r="N463" s="1582"/>
      <c r="O463" s="1582"/>
      <c r="P463" s="1582"/>
      <c r="Q463" s="1582"/>
      <c r="R463" s="1582"/>
      <c r="S463" s="1582"/>
      <c r="T463" s="1582"/>
      <c r="U463" s="1582"/>
      <c r="V463" s="1582"/>
      <c r="W463" s="1582"/>
      <c r="X463" s="1582"/>
      <c r="Y463" s="1582"/>
      <c r="Z463" s="1582"/>
      <c r="AA463" s="1582"/>
      <c r="AB463" s="1582"/>
      <c r="AC463" s="1582"/>
      <c r="AD463" s="1582"/>
      <c r="AE463" s="1582"/>
      <c r="AF463" s="1582"/>
      <c r="AL463" s="617"/>
      <c r="AM463"/>
      <c r="AN463" s="243"/>
      <c r="AO463" s="4" t="s">
        <v>325</v>
      </c>
      <c r="AP463" s="32">
        <v>0</v>
      </c>
      <c r="AR463" s="4" t="s">
        <v>325</v>
      </c>
      <c r="AS463" s="32">
        <v>0</v>
      </c>
      <c r="AT463" s="27"/>
      <c r="AW463" s="4" t="s">
        <v>325</v>
      </c>
      <c r="AX463" s="27">
        <v>0</v>
      </c>
      <c r="BA463" s="4" t="s">
        <v>325</v>
      </c>
      <c r="BB463" s="27">
        <v>0</v>
      </c>
    </row>
    <row r="464" spans="1:54" s="4" customFormat="1" ht="6" customHeight="1">
      <c r="A464" s="37"/>
      <c r="B464" s="21"/>
      <c r="C464" s="619"/>
      <c r="F464" s="1582"/>
      <c r="G464" s="1582"/>
      <c r="H464" s="1582"/>
      <c r="I464" s="1582"/>
      <c r="J464" s="1582"/>
      <c r="K464" s="1582"/>
      <c r="L464" s="1582"/>
      <c r="M464" s="1582"/>
      <c r="N464" s="1582"/>
      <c r="O464" s="1582"/>
      <c r="P464" s="1582"/>
      <c r="Q464" s="1582"/>
      <c r="R464" s="1582"/>
      <c r="S464" s="1582"/>
      <c r="T464" s="1582"/>
      <c r="U464" s="1582"/>
      <c r="V464" s="1582"/>
      <c r="W464" s="1582"/>
      <c r="X464" s="1582"/>
      <c r="Y464" s="1582"/>
      <c r="Z464" s="1582"/>
      <c r="AA464" s="1582"/>
      <c r="AB464" s="1582"/>
      <c r="AC464" s="1582"/>
      <c r="AD464" s="1582"/>
      <c r="AE464" s="1582"/>
      <c r="AF464" s="1582"/>
      <c r="AL464" s="617"/>
      <c r="AM464"/>
      <c r="AN464" s="243"/>
      <c r="AO464" s="288">
        <v>7.0000000000000007E-2</v>
      </c>
      <c r="AP464" s="32">
        <v>3</v>
      </c>
      <c r="AR464" s="4" t="s">
        <v>2102</v>
      </c>
      <c r="AS464" s="32">
        <v>3</v>
      </c>
      <c r="AT464" s="27"/>
      <c r="AW464" s="288">
        <v>0.4</v>
      </c>
      <c r="AX464" s="27">
        <v>3</v>
      </c>
      <c r="BA464" s="288">
        <v>0.4</v>
      </c>
      <c r="BB464" s="27">
        <v>4</v>
      </c>
    </row>
    <row r="465" spans="1:54" s="4" customFormat="1" ht="12.75" customHeight="1">
      <c r="A465" s="37"/>
      <c r="B465" s="21"/>
      <c r="C465" s="1612" t="s">
        <v>325</v>
      </c>
      <c r="D465" s="1069"/>
      <c r="E465" s="191"/>
      <c r="F465" s="286" t="s">
        <v>2074</v>
      </c>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F465" s="1513" t="s">
        <v>2055</v>
      </c>
      <c r="AG465" s="1513"/>
      <c r="AH465" s="1513"/>
      <c r="AI465" s="1513"/>
      <c r="AJ465" s="1513"/>
      <c r="AK465" s="1513"/>
      <c r="AL465" s="1607"/>
      <c r="AM465"/>
      <c r="AN465" s="243"/>
      <c r="AO465" s="288">
        <v>0.12</v>
      </c>
      <c r="AP465" s="32">
        <v>5</v>
      </c>
      <c r="AR465" s="4" t="s">
        <v>2103</v>
      </c>
      <c r="AS465" s="32">
        <v>5</v>
      </c>
      <c r="AT465" s="27"/>
      <c r="AW465" s="288">
        <v>0.6</v>
      </c>
      <c r="AX465" s="27">
        <v>4</v>
      </c>
      <c r="BA465" s="288">
        <v>0.6</v>
      </c>
      <c r="BB465" s="27">
        <v>5</v>
      </c>
    </row>
    <row r="466" spans="1:54" s="4" customFormat="1" ht="12.75" customHeight="1">
      <c r="A466" s="37"/>
      <c r="B466" s="21"/>
      <c r="C466" s="620"/>
      <c r="D466" s="621"/>
      <c r="E466" s="622"/>
      <c r="F466" s="625"/>
      <c r="G466" s="625"/>
      <c r="H466" s="625"/>
      <c r="I466" s="625"/>
      <c r="J466" s="625"/>
      <c r="K466" s="625"/>
      <c r="L466" s="625"/>
      <c r="M466" s="625"/>
      <c r="N466" s="625"/>
      <c r="O466" s="625"/>
      <c r="P466" s="625"/>
      <c r="Q466" s="625"/>
      <c r="R466" s="625"/>
      <c r="S466" s="625"/>
      <c r="T466" s="625"/>
      <c r="U466" s="625"/>
      <c r="V466" s="625"/>
      <c r="W466" s="625"/>
      <c r="X466" s="625"/>
      <c r="Y466" s="625"/>
      <c r="Z466" s="625"/>
      <c r="AA466" s="625"/>
      <c r="AB466" s="625"/>
      <c r="AC466" s="625"/>
      <c r="AD466" s="625"/>
      <c r="AE466" s="625"/>
      <c r="AF466" s="625"/>
      <c r="AG466" s="625"/>
      <c r="AH466" s="625"/>
      <c r="AI466" s="625"/>
      <c r="AJ466" s="625"/>
      <c r="AK466" s="625"/>
      <c r="AL466" s="626"/>
      <c r="AN466" s="243"/>
      <c r="AO466" s="288"/>
      <c r="AP466" s="27"/>
      <c r="AS466" s="288"/>
      <c r="AT466" s="27"/>
      <c r="AW466" s="288">
        <v>0.8</v>
      </c>
      <c r="AX466" s="27">
        <v>5</v>
      </c>
      <c r="BA466" s="288"/>
      <c r="BB466" s="27"/>
    </row>
    <row r="467" spans="1:54" s="4" customFormat="1" ht="12.75" customHeight="1">
      <c r="A467" s="37"/>
      <c r="B467" s="21"/>
      <c r="C467"/>
      <c r="D467"/>
      <c r="F467" s="286"/>
      <c r="G467" s="26"/>
      <c r="H467" s="26"/>
      <c r="I467" s="26"/>
      <c r="J467" s="26"/>
      <c r="K467" s="26"/>
      <c r="L467" s="26"/>
      <c r="M467" s="26"/>
      <c r="N467" s="26"/>
      <c r="O467" s="26"/>
      <c r="P467" s="26"/>
      <c r="Q467" s="26"/>
      <c r="R467" s="26"/>
      <c r="S467" s="26"/>
      <c r="T467" s="26"/>
      <c r="U467" s="26"/>
      <c r="V467" s="26"/>
      <c r="W467" s="26"/>
      <c r="X467" s="26"/>
      <c r="Y467" s="26"/>
      <c r="Z467" s="26"/>
      <c r="AA467" s="26"/>
      <c r="AB467" s="26"/>
      <c r="AC467" s="26"/>
      <c r="AD467" s="26"/>
      <c r="AF467" s="84"/>
      <c r="AG467" s="84"/>
      <c r="AH467" s="84"/>
      <c r="AI467" s="84"/>
      <c r="AJ467" s="84"/>
      <c r="AK467" s="84"/>
      <c r="AL467" s="84"/>
      <c r="AN467" s="243"/>
      <c r="AO467" s="4" t="s">
        <v>325</v>
      </c>
      <c r="AP467" s="32">
        <v>0</v>
      </c>
      <c r="AW467" s="288"/>
      <c r="AX467" s="27"/>
    </row>
    <row r="468" spans="1:54" s="4" customFormat="1" ht="12.75" customHeight="1">
      <c r="A468" s="37"/>
      <c r="B468" s="21"/>
      <c r="E468" s="191"/>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M468"/>
      <c r="AN468" s="243"/>
      <c r="AO468" s="288">
        <v>0.09</v>
      </c>
      <c r="AP468" s="32">
        <v>3</v>
      </c>
      <c r="AS468" s="285"/>
    </row>
    <row r="469" spans="1:54" s="4" customFormat="1" ht="12.75" customHeight="1">
      <c r="A469" s="37"/>
      <c r="B469" s="21"/>
      <c r="C469"/>
      <c r="D469"/>
      <c r="E469" s="170"/>
      <c r="F469" s="286"/>
      <c r="G469" s="26"/>
      <c r="H469" s="26"/>
      <c r="I469" s="26"/>
      <c r="J469" s="26"/>
      <c r="K469" s="26"/>
      <c r="L469" s="26"/>
      <c r="M469" s="26"/>
      <c r="N469" s="26"/>
      <c r="O469" s="26"/>
      <c r="P469" s="26"/>
      <c r="Q469" s="26"/>
      <c r="R469" s="26"/>
      <c r="S469" s="26"/>
      <c r="T469" s="26"/>
      <c r="U469" s="26"/>
      <c r="V469" s="26"/>
      <c r="W469" s="26"/>
      <c r="X469" s="26"/>
      <c r="Y469" s="26"/>
      <c r="Z469" s="26"/>
      <c r="AA469" s="26"/>
      <c r="AB469" s="26"/>
      <c r="AC469" s="26"/>
      <c r="AD469" s="26"/>
      <c r="AF469" s="84"/>
      <c r="AG469" s="84"/>
      <c r="AH469" s="84"/>
      <c r="AI469" s="84"/>
      <c r="AJ469" s="84"/>
      <c r="AK469" s="84"/>
      <c r="AL469" s="84"/>
      <c r="AM469"/>
      <c r="AN469" s="243"/>
      <c r="AO469" s="288">
        <v>0.15</v>
      </c>
      <c r="AP469" s="32">
        <v>5</v>
      </c>
    </row>
    <row r="470" spans="1:54" s="4" customFormat="1" ht="12.75" customHeight="1">
      <c r="A470" s="37"/>
      <c r="B470" s="21"/>
      <c r="C470" s="11"/>
      <c r="D470" s="21"/>
      <c r="E470" s="170"/>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E470" s="37"/>
      <c r="AF470" s="3"/>
      <c r="AG470" s="37"/>
      <c r="AM470"/>
      <c r="AN470" s="243"/>
    </row>
    <row r="471" spans="1:54" s="4" customFormat="1" ht="12.75" customHeight="1">
      <c r="A471" s="180"/>
      <c r="B471" s="539" t="s">
        <v>2104</v>
      </c>
      <c r="D471" s="97"/>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c r="AA471" s="340"/>
      <c r="AB471" s="340"/>
      <c r="AC471" s="340"/>
      <c r="AD471" s="340"/>
      <c r="AE471" s="77"/>
      <c r="AF471" s="77"/>
      <c r="AG471" s="77"/>
      <c r="AH471" s="77"/>
      <c r="AI471" s="53"/>
      <c r="AJ471" s="53" t="s">
        <v>2105</v>
      </c>
      <c r="AK471" s="1192">
        <f>IF(AS354=0,AS352,AS354)</f>
        <v>10</v>
      </c>
      <c r="AL471" s="1193"/>
      <c r="AM471" s="1195"/>
      <c r="AN471" s="243"/>
    </row>
    <row r="472" spans="1:54" s="4" customFormat="1" ht="12.75" customHeight="1" thickBot="1">
      <c r="A472" s="119"/>
      <c r="B472" s="119"/>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19"/>
      <c r="Z472" s="119"/>
      <c r="AA472" s="119"/>
      <c r="AB472" s="119"/>
      <c r="AC472" s="119"/>
      <c r="AD472" s="119"/>
      <c r="AE472" s="119"/>
      <c r="AF472" s="119"/>
      <c r="AG472" s="119"/>
      <c r="AH472" s="119"/>
      <c r="AI472" s="119"/>
      <c r="AJ472" s="119"/>
      <c r="AK472" s="119"/>
      <c r="AL472" s="119"/>
      <c r="AM472" s="120"/>
      <c r="AN472" s="243"/>
    </row>
    <row r="473" spans="1:54" s="4" customFormat="1" ht="12.75" hidden="1" customHeight="1" thickTop="1">
      <c r="A473" s="70"/>
      <c r="B473" s="164"/>
      <c r="C473" s="165"/>
      <c r="D473" s="165"/>
      <c r="E473" s="165"/>
      <c r="F473" s="165"/>
      <c r="G473" s="165"/>
      <c r="H473" s="165"/>
      <c r="I473" s="83"/>
      <c r="J473" s="83"/>
      <c r="K473" s="83"/>
      <c r="L473" s="83"/>
      <c r="M473" s="83"/>
      <c r="N473" s="83"/>
      <c r="O473" s="83"/>
      <c r="P473" s="83"/>
      <c r="Q473" s="83"/>
      <c r="R473"/>
      <c r="S473" s="3"/>
      <c r="T473" s="3"/>
      <c r="U473" s="3"/>
      <c r="V473" s="3"/>
      <c r="W473" s="3"/>
      <c r="X473" s="3"/>
      <c r="Y473" s="3"/>
      <c r="Z473" s="3"/>
      <c r="AA473" s="3"/>
      <c r="AB473" s="3"/>
      <c r="AC473" s="3"/>
      <c r="AD473" s="3"/>
      <c r="AE473" s="3"/>
      <c r="AF473"/>
      <c r="AG473" s="3"/>
      <c r="AH473" s="3"/>
      <c r="AI473" s="3"/>
      <c r="AJ473" s="3"/>
      <c r="AM473" s="21"/>
      <c r="AN473" s="243"/>
      <c r="AO473" s="4" t="s">
        <v>325</v>
      </c>
      <c r="AP473" s="4">
        <v>0</v>
      </c>
    </row>
    <row r="474" spans="1:54" s="4" customFormat="1" ht="12.75" hidden="1" customHeight="1">
      <c r="A474" s="3" t="s">
        <v>2106</v>
      </c>
      <c r="C474" s="3"/>
      <c r="E474" s="20"/>
      <c r="AE474" s="1513" t="s">
        <v>2107</v>
      </c>
      <c r="AF474" s="1513"/>
      <c r="AG474" s="1513"/>
      <c r="AH474" s="1513"/>
      <c r="AI474" s="1513"/>
      <c r="AJ474" s="1513"/>
      <c r="AK474" s="1513"/>
      <c r="AL474" s="18"/>
      <c r="AN474" s="243"/>
      <c r="AO474" s="4" t="s">
        <v>2088</v>
      </c>
      <c r="AP474" s="4">
        <v>5</v>
      </c>
    </row>
    <row r="475" spans="1:54" s="4" customFormat="1" ht="12.75" hidden="1" customHeight="1">
      <c r="A475" s="3"/>
      <c r="B475" s="37" t="s">
        <v>2108</v>
      </c>
      <c r="C475" s="3"/>
      <c r="E475" s="20"/>
      <c r="AE475" s="18"/>
      <c r="AF475" s="18"/>
      <c r="AG475" s="18"/>
      <c r="AH475" s="18"/>
      <c r="AI475" s="18"/>
      <c r="AJ475" s="18"/>
      <c r="AK475" s="18"/>
      <c r="AL475" s="18"/>
      <c r="AN475" s="243"/>
      <c r="AO475" s="4" t="s">
        <v>2109</v>
      </c>
      <c r="AP475" s="4">
        <v>5</v>
      </c>
    </row>
    <row r="476" spans="1:54" s="4" customFormat="1" ht="12.75" hidden="1" customHeight="1">
      <c r="A476" s="3"/>
      <c r="B476" s="3" t="s">
        <v>2110</v>
      </c>
      <c r="C476" s="3"/>
      <c r="E476" s="20"/>
      <c r="AE476" s="18"/>
      <c r="AF476" s="18"/>
      <c r="AG476" s="18"/>
      <c r="AH476" s="18"/>
      <c r="AI476" s="18"/>
      <c r="AJ476" s="18"/>
      <c r="AK476" s="18"/>
      <c r="AL476" s="18"/>
      <c r="AN476" s="243"/>
      <c r="AO476" s="4" t="s">
        <v>2092</v>
      </c>
      <c r="AP476" s="4">
        <v>5</v>
      </c>
      <c r="AQ476" s="3"/>
      <c r="AR476" s="3"/>
      <c r="AS476" s="285"/>
      <c r="AW476" s="285"/>
    </row>
    <row r="477" spans="1:54" s="4" customFormat="1" ht="12.75" hidden="1" customHeight="1">
      <c r="A477" s="3"/>
      <c r="B477" s="3" t="s">
        <v>2111</v>
      </c>
      <c r="C477" s="3"/>
      <c r="E477" s="20"/>
      <c r="AE477" s="18"/>
      <c r="AF477" s="18"/>
      <c r="AG477" s="18"/>
      <c r="AH477" s="18"/>
      <c r="AI477" s="18"/>
      <c r="AJ477" s="18"/>
      <c r="AK477" s="18"/>
      <c r="AL477" s="18"/>
      <c r="AN477" s="243"/>
      <c r="AO477" s="4" t="s">
        <v>2093</v>
      </c>
      <c r="AP477" s="4">
        <v>5</v>
      </c>
      <c r="AQ477" s="3"/>
      <c r="AR477" s="3"/>
      <c r="AW477" s="99"/>
    </row>
    <row r="478" spans="1:54" s="4" customFormat="1" ht="12.75" hidden="1" customHeight="1">
      <c r="A478" s="3"/>
      <c r="C478" s="3"/>
      <c r="E478" s="20"/>
      <c r="AE478" s="18"/>
      <c r="AF478" s="18"/>
      <c r="AG478" s="18"/>
      <c r="AH478" s="18"/>
      <c r="AI478" s="18"/>
      <c r="AJ478" s="18"/>
      <c r="AK478" s="18"/>
      <c r="AL478" s="18"/>
      <c r="AN478" s="243"/>
      <c r="AO478" s="4" t="s">
        <v>2094</v>
      </c>
      <c r="AP478" s="4">
        <v>5</v>
      </c>
      <c r="AQ478" s="3"/>
      <c r="AR478" s="3"/>
      <c r="AW478" s="99"/>
    </row>
    <row r="479" spans="1:54" s="4" customFormat="1" ht="12.75" hidden="1" customHeight="1">
      <c r="A479" s="3"/>
      <c r="C479" s="160" t="s">
        <v>2112</v>
      </c>
      <c r="D479"/>
      <c r="AE479" s="18"/>
      <c r="AF479" s="18"/>
      <c r="AG479" s="20"/>
      <c r="AH479" s="20"/>
      <c r="AI479" s="20"/>
      <c r="AJ479" s="20"/>
      <c r="AK479" s="20"/>
      <c r="AL479" s="20"/>
      <c r="AN479" s="243"/>
      <c r="AO479" s="4" t="s">
        <v>2095</v>
      </c>
      <c r="AP479" s="4">
        <v>5</v>
      </c>
      <c r="AW479" s="99"/>
    </row>
    <row r="480" spans="1:54" s="4" customFormat="1" ht="12.75" hidden="1" customHeight="1">
      <c r="A480" s="3"/>
      <c r="C480" s="1615" t="s">
        <v>325</v>
      </c>
      <c r="D480" s="1616"/>
      <c r="E480" s="655" t="s">
        <v>45</v>
      </c>
      <c r="F480" s="1605" t="s">
        <v>2113</v>
      </c>
      <c r="G480" s="1605"/>
      <c r="H480" s="1605"/>
      <c r="I480" s="1605"/>
      <c r="J480" s="1605"/>
      <c r="K480" s="1605"/>
      <c r="L480" s="1605"/>
      <c r="M480" s="1605"/>
      <c r="N480" s="1605"/>
      <c r="O480" s="1605"/>
      <c r="P480" s="1605"/>
      <c r="Q480" s="1605"/>
      <c r="R480" s="1605"/>
      <c r="S480" s="1605"/>
      <c r="T480" s="1605"/>
      <c r="U480" s="1605"/>
      <c r="V480" s="1605"/>
      <c r="W480" s="1605"/>
      <c r="X480" s="1605"/>
      <c r="Y480" s="1605"/>
      <c r="Z480" s="1605"/>
      <c r="AA480" s="1605"/>
      <c r="AB480" s="1605"/>
      <c r="AC480" s="1605"/>
      <c r="AD480" s="1605"/>
      <c r="AE480" s="1605"/>
      <c r="AF480" s="610"/>
      <c r="AG480" s="610"/>
      <c r="AH480" s="610"/>
      <c r="AI480" s="610"/>
      <c r="AJ480" s="610"/>
      <c r="AK480" s="632"/>
      <c r="AN480" s="243"/>
      <c r="AO480" s="4" t="s">
        <v>2114</v>
      </c>
      <c r="AP480" s="4">
        <v>5</v>
      </c>
      <c r="AS480" s="288"/>
      <c r="AT480" s="27"/>
      <c r="AW480" s="99"/>
      <c r="AX480" s="32"/>
    </row>
    <row r="481" spans="1:49" s="4" customFormat="1" ht="12.75" hidden="1" customHeight="1">
      <c r="C481" s="634"/>
      <c r="E481" s="121"/>
      <c r="F481" s="1606"/>
      <c r="G481" s="1606"/>
      <c r="H481" s="1606"/>
      <c r="I481" s="1606"/>
      <c r="J481" s="1606"/>
      <c r="K481" s="1606"/>
      <c r="L481" s="1606"/>
      <c r="M481" s="1606"/>
      <c r="N481" s="1606"/>
      <c r="O481" s="1606"/>
      <c r="P481" s="1606"/>
      <c r="Q481" s="1606"/>
      <c r="R481" s="1606"/>
      <c r="S481" s="1606"/>
      <c r="T481" s="1606"/>
      <c r="U481" s="1606"/>
      <c r="V481" s="1606"/>
      <c r="W481" s="1606"/>
      <c r="X481" s="1606"/>
      <c r="Y481" s="1606"/>
      <c r="Z481" s="1606"/>
      <c r="AA481" s="1606"/>
      <c r="AB481" s="1606"/>
      <c r="AC481" s="1606"/>
      <c r="AD481" s="1606"/>
      <c r="AE481" s="1606"/>
      <c r="AG481" s="19"/>
      <c r="AH481" s="19"/>
      <c r="AI481" s="19"/>
      <c r="AJ481" s="19"/>
      <c r="AK481" s="617"/>
      <c r="AN481" s="243"/>
      <c r="AO481" s="4" t="s">
        <v>2099</v>
      </c>
      <c r="AP481" s="4">
        <v>1</v>
      </c>
    </row>
    <row r="482" spans="1:49" s="4" customFormat="1" ht="12.75" hidden="1" customHeight="1">
      <c r="C482" s="635"/>
      <c r="D482" s="625"/>
      <c r="E482" s="636"/>
      <c r="F482" s="1398" t="s">
        <v>325</v>
      </c>
      <c r="G482" s="1398"/>
      <c r="H482" s="1398"/>
      <c r="I482" s="1398"/>
      <c r="J482" s="1398"/>
      <c r="K482" s="1398"/>
      <c r="L482" s="1398"/>
      <c r="M482" s="1398"/>
      <c r="N482" s="1398"/>
      <c r="O482" s="1398"/>
      <c r="P482" s="1398"/>
      <c r="Q482" s="1398"/>
      <c r="R482" s="1398"/>
      <c r="S482" s="1398"/>
      <c r="T482" s="1398"/>
      <c r="U482" s="1398"/>
      <c r="V482" s="1398"/>
      <c r="W482" s="1398"/>
      <c r="X482" s="1398"/>
      <c r="Y482" s="1398"/>
      <c r="Z482" s="1398"/>
      <c r="AA482" s="637"/>
      <c r="AB482" s="638"/>
      <c r="AC482" s="638"/>
      <c r="AD482" s="625"/>
      <c r="AE482" s="625"/>
      <c r="AF482" s="625"/>
      <c r="AG482" s="639">
        <f>IF($C$480="Yes",(VLOOKUP($F$482,$AO$453:$AP$461,2,FALSE)),0)</f>
        <v>0</v>
      </c>
      <c r="AH482" s="640" t="s">
        <v>2115</v>
      </c>
      <c r="AI482" s="639"/>
      <c r="AJ482" s="639"/>
      <c r="AK482" s="626"/>
      <c r="AN482" s="243"/>
      <c r="AS482" s="285"/>
      <c r="AW482" s="285"/>
    </row>
    <row r="483" spans="1:49" s="4" customFormat="1" ht="12.75" hidden="1" customHeight="1">
      <c r="C483" s="19"/>
      <c r="E483" s="121"/>
      <c r="F483" s="27"/>
      <c r="G483" s="27"/>
      <c r="H483" s="27"/>
      <c r="I483" s="27"/>
      <c r="J483" s="27"/>
      <c r="K483" s="27"/>
      <c r="L483" s="27"/>
      <c r="M483" s="27"/>
      <c r="N483" s="27"/>
      <c r="O483" s="27"/>
      <c r="P483" s="27"/>
      <c r="Q483" s="27"/>
      <c r="R483" s="27"/>
      <c r="S483" s="27"/>
      <c r="T483" s="27"/>
      <c r="U483" s="27"/>
      <c r="V483" s="27"/>
      <c r="W483" s="27"/>
      <c r="X483" s="27"/>
      <c r="Y483" s="27"/>
      <c r="Z483" s="27"/>
      <c r="AA483"/>
      <c r="AB483" s="19"/>
      <c r="AC483" s="19"/>
      <c r="AG483" s="19"/>
      <c r="AH483" s="19"/>
      <c r="AI483" s="19"/>
      <c r="AJ483" s="19"/>
      <c r="AN483" s="243"/>
      <c r="AO483" s="4" t="s">
        <v>325</v>
      </c>
      <c r="AP483" s="32">
        <v>0</v>
      </c>
    </row>
    <row r="484" spans="1:49" s="4" customFormat="1" ht="12.75" hidden="1" customHeight="1">
      <c r="C484" s="1597" t="s">
        <v>826</v>
      </c>
      <c r="D484" s="1598"/>
      <c r="E484" s="655" t="s">
        <v>47</v>
      </c>
      <c r="F484" s="641" t="s">
        <v>2116</v>
      </c>
      <c r="G484" s="642"/>
      <c r="H484" s="642"/>
      <c r="I484" s="642"/>
      <c r="J484" s="642"/>
      <c r="K484" s="642"/>
      <c r="L484" s="642"/>
      <c r="M484" s="642"/>
      <c r="N484" s="642"/>
      <c r="O484" s="642"/>
      <c r="P484" s="642"/>
      <c r="Q484" s="642"/>
      <c r="R484" s="642"/>
      <c r="S484" s="642"/>
      <c r="T484" s="642"/>
      <c r="U484" s="642"/>
      <c r="V484" s="642"/>
      <c r="W484" s="642"/>
      <c r="X484" s="642"/>
      <c r="Y484" s="642"/>
      <c r="Z484" s="642"/>
      <c r="AA484" s="642"/>
      <c r="AB484" s="642"/>
      <c r="AC484" s="642"/>
      <c r="AD484" s="610"/>
      <c r="AE484" s="610"/>
      <c r="AF484" s="610"/>
      <c r="AG484" s="642"/>
      <c r="AH484" s="642"/>
      <c r="AI484" s="642"/>
      <c r="AJ484" s="642"/>
      <c r="AK484" s="632"/>
      <c r="AN484" s="243"/>
      <c r="AO484" s="288">
        <v>0.15</v>
      </c>
      <c r="AP484" s="32">
        <v>3</v>
      </c>
    </row>
    <row r="485" spans="1:49" s="4" customFormat="1" ht="12.75" hidden="1" customHeight="1">
      <c r="C485" s="643" t="s">
        <v>2117</v>
      </c>
      <c r="F485" s="218" t="s">
        <v>2118</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84"/>
      <c r="AH485" s="84"/>
      <c r="AI485" s="84"/>
      <c r="AJ485" s="84"/>
      <c r="AK485" s="617"/>
      <c r="AN485" s="243"/>
      <c r="AO485" s="288">
        <v>0.2</v>
      </c>
      <c r="AP485" s="32">
        <v>5</v>
      </c>
    </row>
    <row r="486" spans="1:49" s="4" customFormat="1" ht="12.75" hidden="1" customHeight="1">
      <c r="C486" s="633"/>
      <c r="D486" s="1"/>
      <c r="E486" s="166"/>
      <c r="F486" s="218" t="s">
        <v>2119</v>
      </c>
      <c r="G486" s="218"/>
      <c r="H486" s="218"/>
      <c r="I486" s="218"/>
      <c r="J486" s="218"/>
      <c r="K486" s="218"/>
      <c r="L486" s="218"/>
      <c r="M486" s="218"/>
      <c r="N486" s="218"/>
      <c r="O486" s="218"/>
      <c r="P486" s="218"/>
      <c r="Q486" s="218"/>
      <c r="R486" s="218"/>
      <c r="S486" s="218"/>
      <c r="T486" s="218"/>
      <c r="U486" s="218"/>
      <c r="V486" s="218"/>
      <c r="W486" s="218"/>
      <c r="X486" s="218"/>
      <c r="Y486" s="218"/>
      <c r="Z486" s="218"/>
      <c r="AA486" s="218"/>
      <c r="AB486" s="218"/>
      <c r="AC486" s="483"/>
      <c r="AD486" s="74"/>
      <c r="AE486" s="74"/>
      <c r="AF486" s="74"/>
      <c r="AG486" s="223"/>
      <c r="AH486" s="84"/>
      <c r="AI486" s="84"/>
      <c r="AJ486" s="84"/>
      <c r="AK486" s="617"/>
      <c r="AN486" s="254"/>
      <c r="AO486" s="288"/>
      <c r="AP486" s="27"/>
    </row>
    <row r="487" spans="1:49" s="20" customFormat="1" ht="12.75" hidden="1" customHeight="1">
      <c r="A487" s="32"/>
      <c r="B487" s="4"/>
      <c r="C487" s="634"/>
      <c r="D487" s="4"/>
      <c r="E487" s="121"/>
      <c r="F487" s="644" t="s">
        <v>2120</v>
      </c>
      <c r="G487" s="4"/>
      <c r="H487" s="4"/>
      <c r="I487" s="218"/>
      <c r="J487" s="218"/>
      <c r="K487" s="218"/>
      <c r="L487" s="218"/>
      <c r="M487" s="218"/>
      <c r="N487" s="218"/>
      <c r="O487" s="218"/>
      <c r="P487" s="218"/>
      <c r="Q487" s="218"/>
      <c r="R487" s="218"/>
      <c r="S487" s="218"/>
      <c r="T487" s="218"/>
      <c r="U487" s="218"/>
      <c r="V487" s="1578" t="s">
        <v>325</v>
      </c>
      <c r="W487" s="1578"/>
      <c r="X487" s="1578"/>
      <c r="Y487" s="218"/>
      <c r="Z487" s="218"/>
      <c r="AA487" s="218"/>
      <c r="AB487" s="218"/>
      <c r="AC487" s="218"/>
      <c r="AD487" s="74"/>
      <c r="AE487" s="74"/>
      <c r="AF487" s="74"/>
      <c r="AG487" s="84">
        <f>IF(AND($C$484="Yes",$V$489="N/A",$V$494="N/A",$V$498="N/A",$V$500="N/A"),(VLOOKUP(V487,$AR$463:$AS$465,2,FALSE)),0)</f>
        <v>0</v>
      </c>
      <c r="AH487" s="107" t="s">
        <v>2115</v>
      </c>
      <c r="AI487" s="19"/>
      <c r="AJ487" s="19"/>
      <c r="AK487" s="617"/>
      <c r="AL487" s="4"/>
      <c r="AM487" s="4"/>
      <c r="AN487" s="243"/>
    </row>
    <row r="488" spans="1:49" s="20" customFormat="1" ht="12.75" hidden="1" customHeight="1">
      <c r="A488" s="32"/>
      <c r="B488" s="4"/>
      <c r="C488" s="634"/>
      <c r="D488" s="4"/>
      <c r="E488" s="121"/>
      <c r="F488" s="644"/>
      <c r="G488" s="4"/>
      <c r="H488" s="4"/>
      <c r="I488" s="218"/>
      <c r="J488" s="218"/>
      <c r="K488" s="218"/>
      <c r="L488" s="218"/>
      <c r="M488" s="218"/>
      <c r="N488" s="218"/>
      <c r="O488" s="218"/>
      <c r="P488" s="218"/>
      <c r="Q488" s="218"/>
      <c r="R488" s="218"/>
      <c r="S488" s="218"/>
      <c r="T488" s="218"/>
      <c r="U488" s="218"/>
      <c r="V488" s="218"/>
      <c r="W488" s="218"/>
      <c r="X488" s="218"/>
      <c r="Y488" s="218"/>
      <c r="Z488" s="218"/>
      <c r="AA488" s="218"/>
      <c r="AB488" s="218"/>
      <c r="AC488" s="218"/>
      <c r="AD488" s="74"/>
      <c r="AE488" s="74"/>
      <c r="AF488" s="74"/>
      <c r="AG488" s="84"/>
      <c r="AH488" s="107"/>
      <c r="AI488" s="19"/>
      <c r="AJ488" s="19"/>
      <c r="AK488" s="617"/>
      <c r="AL488" s="4"/>
      <c r="AM488" s="4"/>
      <c r="AN488" s="243"/>
    </row>
    <row r="489" spans="1:49" s="20" customFormat="1" ht="12.75" hidden="1" customHeight="1">
      <c r="A489" s="32"/>
      <c r="B489" s="4"/>
      <c r="C489" s="634"/>
      <c r="D489" s="4"/>
      <c r="E489" s="121"/>
      <c r="F489" s="644" t="s">
        <v>2121</v>
      </c>
      <c r="G489" s="4"/>
      <c r="H489" s="4"/>
      <c r="I489" s="218"/>
      <c r="J489" s="218"/>
      <c r="K489" s="218"/>
      <c r="L489" s="218"/>
      <c r="M489" s="218"/>
      <c r="N489" s="218"/>
      <c r="O489" s="218"/>
      <c r="P489" s="218"/>
      <c r="Q489" s="218"/>
      <c r="R489" s="218"/>
      <c r="S489" s="218"/>
      <c r="T489" s="218"/>
      <c r="U489" s="218"/>
      <c r="V489" s="1578" t="s">
        <v>325</v>
      </c>
      <c r="W489" s="1578"/>
      <c r="X489" s="1578"/>
      <c r="Y489" s="218"/>
      <c r="Z489" s="218"/>
      <c r="AA489" s="218"/>
      <c r="AB489" s="218"/>
      <c r="AC489" s="218"/>
      <c r="AD489" s="74"/>
      <c r="AE489" s="74"/>
      <c r="AF489" s="74"/>
      <c r="AG489" s="84">
        <f>IF(AND($C$484="Yes",$V$487="N/A", $V$494="N/A",$V$498="N/A",$V$500="N/A"),(VLOOKUP(V489,$AO$463:$AP$465,2,FALSE)),0)</f>
        <v>0</v>
      </c>
      <c r="AH489" s="107" t="s">
        <v>2115</v>
      </c>
      <c r="AI489" s="19"/>
      <c r="AJ489" s="19"/>
      <c r="AK489" s="617"/>
      <c r="AL489" s="4"/>
      <c r="AM489" s="4"/>
      <c r="AN489" s="243"/>
    </row>
    <row r="490" spans="1:49" s="4" customFormat="1" ht="12.75" hidden="1" customHeight="1">
      <c r="C490" s="634"/>
      <c r="E490" s="121"/>
      <c r="F490" s="20"/>
      <c r="G490" s="220"/>
      <c r="H490" s="220"/>
      <c r="I490" s="220"/>
      <c r="J490" s="220"/>
      <c r="K490" s="220"/>
      <c r="L490" s="220"/>
      <c r="M490" s="220"/>
      <c r="N490" s="220"/>
      <c r="O490" s="220"/>
      <c r="P490" s="220"/>
      <c r="Q490" s="19"/>
      <c r="R490" s="19"/>
      <c r="S490" s="19"/>
      <c r="T490" s="19"/>
      <c r="U490" s="19"/>
      <c r="V490" s="19"/>
      <c r="W490" s="19"/>
      <c r="X490" s="19"/>
      <c r="Y490" s="19"/>
      <c r="Z490" s="19"/>
      <c r="AA490" s="19"/>
      <c r="AB490" s="19"/>
      <c r="AC490" s="19"/>
      <c r="AG490" s="20"/>
      <c r="AH490" s="20"/>
      <c r="AI490" s="20"/>
      <c r="AJ490" s="20"/>
      <c r="AK490" s="617"/>
      <c r="AN490" s="243"/>
      <c r="AO490" s="4" t="s">
        <v>325</v>
      </c>
      <c r="AP490" s="4">
        <v>0</v>
      </c>
    </row>
    <row r="491" spans="1:49" s="4" customFormat="1" ht="12.75" hidden="1" customHeight="1">
      <c r="C491" s="634"/>
      <c r="E491" s="121"/>
      <c r="F491" s="220" t="s">
        <v>2122</v>
      </c>
      <c r="I491" s="121"/>
      <c r="J491" s="121"/>
      <c r="K491" s="121"/>
      <c r="L491" s="121"/>
      <c r="M491" s="121"/>
      <c r="N491" s="121"/>
      <c r="O491" s="121"/>
      <c r="P491" s="121"/>
      <c r="Q491" s="19"/>
      <c r="R491" s="19"/>
      <c r="S491" s="19"/>
      <c r="T491" s="19"/>
      <c r="U491" s="19"/>
      <c r="V491" s="19"/>
      <c r="W491" s="19"/>
      <c r="X491" s="19"/>
      <c r="Y491" s="19"/>
      <c r="Z491" s="19"/>
      <c r="AA491" s="19"/>
      <c r="AB491" s="19"/>
      <c r="AC491" s="19"/>
      <c r="AJ491" s="19"/>
      <c r="AK491" s="617"/>
      <c r="AN491" s="243"/>
      <c r="AO491" s="4" t="s">
        <v>2123</v>
      </c>
      <c r="AP491" s="32">
        <v>2</v>
      </c>
    </row>
    <row r="492" spans="1:49" s="4" customFormat="1" ht="12.75" hidden="1" customHeight="1">
      <c r="C492" s="634"/>
      <c r="F492" s="74" t="s">
        <v>2124</v>
      </c>
      <c r="M492" s="121"/>
      <c r="N492" s="121"/>
      <c r="O492" s="121"/>
      <c r="P492" s="121"/>
      <c r="Q492" s="19"/>
      <c r="R492" s="19"/>
      <c r="S492" s="19"/>
      <c r="T492" s="19"/>
      <c r="U492" s="19"/>
      <c r="V492" s="19"/>
      <c r="W492" s="19"/>
      <c r="X492" s="19"/>
      <c r="Y492" s="19"/>
      <c r="Z492" s="19"/>
      <c r="AA492" s="19"/>
      <c r="AB492" s="19"/>
      <c r="AC492" s="19"/>
      <c r="AG492" s="84"/>
      <c r="AH492" s="107"/>
      <c r="AI492" s="19"/>
      <c r="AJ492" s="19"/>
      <c r="AK492" s="617"/>
      <c r="AN492" s="243"/>
      <c r="AO492" s="4" t="s">
        <v>2125</v>
      </c>
      <c r="AP492" s="4">
        <v>2</v>
      </c>
    </row>
    <row r="493" spans="1:49" s="20" customFormat="1" ht="12.75" hidden="1" customHeight="1">
      <c r="A493" s="4"/>
      <c r="B493" s="4"/>
      <c r="C493" s="619"/>
      <c r="D493"/>
      <c r="E493"/>
      <c r="F493" s="74" t="s">
        <v>2126</v>
      </c>
      <c r="G493" s="4"/>
      <c r="H493" s="4"/>
      <c r="I493" s="4"/>
      <c r="J493" s="4"/>
      <c r="K493" s="4"/>
      <c r="L493" s="4"/>
      <c r="M493" s="121"/>
      <c r="N493" s="121"/>
      <c r="O493" s="121"/>
      <c r="P493" s="121"/>
      <c r="Q493" s="19"/>
      <c r="R493" s="19"/>
      <c r="S493" s="19"/>
      <c r="T493" s="19"/>
      <c r="U493" s="19"/>
      <c r="V493" s="19"/>
      <c r="W493" s="19"/>
      <c r="X493" s="19"/>
      <c r="Y493" s="19"/>
      <c r="Z493" s="19"/>
      <c r="AA493" s="19"/>
      <c r="AB493" s="19"/>
      <c r="AC493" s="19"/>
      <c r="AD493" s="4"/>
      <c r="AE493" s="4"/>
      <c r="AF493" s="4"/>
      <c r="AG493" s="84"/>
      <c r="AH493" s="107"/>
      <c r="AI493" s="19"/>
      <c r="AJ493" s="19"/>
      <c r="AK493" s="617"/>
      <c r="AL493" s="4"/>
      <c r="AM493" s="4"/>
      <c r="AN493" s="254"/>
      <c r="AO493" s="4" t="s">
        <v>2127</v>
      </c>
      <c r="AP493" s="4">
        <v>2</v>
      </c>
    </row>
    <row r="494" spans="1:49" s="4" customFormat="1" ht="12.75" hidden="1" customHeight="1">
      <c r="C494" s="645"/>
      <c r="F494" s="644" t="s">
        <v>2128</v>
      </c>
      <c r="M494" s="121"/>
      <c r="N494" s="121"/>
      <c r="O494" s="121"/>
      <c r="P494" s="121"/>
      <c r="Q494" s="19"/>
      <c r="R494" s="19"/>
      <c r="S494" s="19"/>
      <c r="T494" s="19"/>
      <c r="U494" s="19"/>
      <c r="V494" s="1578" t="s">
        <v>325</v>
      </c>
      <c r="W494" s="1578"/>
      <c r="X494" s="1578"/>
      <c r="Y494" s="19"/>
      <c r="Z494" s="19"/>
      <c r="AA494" s="19"/>
      <c r="AB494" s="19"/>
      <c r="AC494" s="19"/>
      <c r="AG494" s="84">
        <f>IF(AND($C$484="Yes",$V$487="N/A",$V$489="N/A", $V$498="N/A",$V$500="N/A"),(VLOOKUP($V$494,$AO$467:$AP$469,2,FALSE)),0)</f>
        <v>0</v>
      </c>
      <c r="AH494" s="107" t="s">
        <v>2115</v>
      </c>
      <c r="AI494" s="19"/>
      <c r="AJ494" s="19"/>
      <c r="AK494" s="617"/>
      <c r="AN494" s="907"/>
    </row>
    <row r="495" spans="1:49" s="4" customFormat="1" ht="12.75" hidden="1" customHeight="1">
      <c r="C495" s="634"/>
      <c r="M495" s="121"/>
      <c r="N495" s="121"/>
      <c r="O495" s="121"/>
      <c r="P495" s="121"/>
      <c r="Q495" s="19"/>
      <c r="R495" s="19"/>
      <c r="S495" s="19"/>
      <c r="T495" s="19"/>
      <c r="U495" s="19"/>
      <c r="V495" s="19"/>
      <c r="W495" s="19"/>
      <c r="X495" s="19"/>
      <c r="Y495" s="19"/>
      <c r="Z495" s="19"/>
      <c r="AA495" s="19"/>
      <c r="AB495" s="19"/>
      <c r="AC495" s="19"/>
      <c r="AJ495" s="19"/>
      <c r="AK495" s="617"/>
      <c r="AN495" s="589"/>
    </row>
    <row r="496" spans="1:49" s="20" customFormat="1" ht="12.75" hidden="1" customHeight="1">
      <c r="A496" s="4"/>
      <c r="B496" s="4"/>
      <c r="C496" s="648" t="s">
        <v>2129</v>
      </c>
      <c r="D496" s="610"/>
      <c r="E496" s="610"/>
      <c r="F496" s="649" t="s">
        <v>2130</v>
      </c>
      <c r="G496" s="610"/>
      <c r="H496" s="610"/>
      <c r="I496" s="610"/>
      <c r="J496" s="610"/>
      <c r="K496" s="610"/>
      <c r="L496" s="610"/>
      <c r="M496" s="610"/>
      <c r="N496" s="610"/>
      <c r="O496" s="610"/>
      <c r="P496" s="610"/>
      <c r="Q496" s="610"/>
      <c r="R496" s="610"/>
      <c r="S496" s="610"/>
      <c r="T496" s="610"/>
      <c r="U496" s="610"/>
      <c r="V496" s="610"/>
      <c r="W496" s="610"/>
      <c r="X496" s="610"/>
      <c r="Y496" s="610"/>
      <c r="Z496" s="610"/>
      <c r="AA496" s="610"/>
      <c r="AB496" s="610"/>
      <c r="AC496" s="610"/>
      <c r="AD496" s="610"/>
      <c r="AE496" s="610"/>
      <c r="AF496" s="610"/>
      <c r="AG496" s="610"/>
      <c r="AH496" s="610"/>
      <c r="AI496" s="610"/>
      <c r="AJ496" s="610"/>
      <c r="AK496" s="632"/>
      <c r="AL496" s="4"/>
      <c r="AM496" s="4"/>
      <c r="AN496" s="584"/>
      <c r="AO496" s="4" t="s">
        <v>325</v>
      </c>
      <c r="AP496" s="4">
        <v>0</v>
      </c>
      <c r="AQ496" s="3"/>
    </row>
    <row r="497" spans="1:147" s="20" customFormat="1" ht="12.75" hidden="1" customHeight="1">
      <c r="A497" s="4"/>
      <c r="B497" s="4"/>
      <c r="C497" s="646"/>
      <c r="D497" s="981"/>
      <c r="E497" s="981"/>
      <c r="F497" s="218" t="s">
        <v>2131</v>
      </c>
      <c r="I497" s="4"/>
      <c r="J497" s="4"/>
      <c r="K497" s="4"/>
      <c r="L497" s="4"/>
      <c r="M497" s="4"/>
      <c r="N497" s="4"/>
      <c r="O497" s="4"/>
      <c r="P497" s="4"/>
      <c r="Q497" s="4"/>
      <c r="R497" s="4"/>
      <c r="S497" s="4"/>
      <c r="T497" s="4"/>
      <c r="U497" s="4"/>
      <c r="Y497" s="4"/>
      <c r="Z497" s="4"/>
      <c r="AA497" s="4"/>
      <c r="AB497" s="4"/>
      <c r="AC497" s="4"/>
      <c r="AD497" s="4"/>
      <c r="AE497" s="4"/>
      <c r="AF497" s="4"/>
      <c r="AK497" s="617"/>
      <c r="AL497" s="4"/>
      <c r="AM497" s="4"/>
      <c r="AN497" s="584"/>
      <c r="AO497" s="4" t="s">
        <v>2132</v>
      </c>
      <c r="AP497" s="32">
        <v>5</v>
      </c>
      <c r="AQ497" s="3"/>
    </row>
    <row r="498" spans="1:147" customFormat="1" ht="12.75" hidden="1" customHeight="1">
      <c r="A498" s="99"/>
      <c r="B498" s="4"/>
      <c r="C498" s="634"/>
      <c r="D498" s="4"/>
      <c r="E498" s="4"/>
      <c r="F498" s="484" t="s">
        <v>2120</v>
      </c>
      <c r="G498" s="4"/>
      <c r="H498" s="4"/>
      <c r="I498" s="4"/>
      <c r="J498" s="4"/>
      <c r="K498" s="4"/>
      <c r="L498" s="4"/>
      <c r="M498" s="4"/>
      <c r="N498" s="4"/>
      <c r="O498" s="4"/>
      <c r="P498" s="4"/>
      <c r="Q498" s="4"/>
      <c r="R498" s="4"/>
      <c r="S498" s="4"/>
      <c r="T498" s="4"/>
      <c r="U498" s="4"/>
      <c r="V498" s="1578" t="s">
        <v>325</v>
      </c>
      <c r="W498" s="1578"/>
      <c r="X498" s="1578"/>
      <c r="Y498" s="4"/>
      <c r="Z498" s="4"/>
      <c r="AA498" s="4"/>
      <c r="AB498" s="4"/>
      <c r="AC498" s="4"/>
      <c r="AD498" s="4"/>
      <c r="AE498" s="4"/>
      <c r="AF498" s="4"/>
      <c r="AG498" s="84">
        <f>IF(AND($C$484="Yes",$V$487="N/A",V489="N/A",$V$494="N/A",$V$500="N/A"),(VLOOKUP($V$498,$AW$463:$AX$466,2,FALSE)),0)</f>
        <v>0</v>
      </c>
      <c r="AH498" s="107" t="s">
        <v>2115</v>
      </c>
      <c r="AI498" s="19"/>
      <c r="AJ498" s="4"/>
      <c r="AK498" s="617"/>
      <c r="AL498" s="4"/>
      <c r="AM498" s="4"/>
      <c r="AN498" s="175"/>
      <c r="AO498" s="4" t="s">
        <v>2133</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99"/>
      <c r="B499" s="4"/>
      <c r="C499" s="634"/>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617"/>
      <c r="AL499" s="4"/>
      <c r="AM499" s="4"/>
      <c r="AN499" s="175"/>
      <c r="AO499" s="4" t="s">
        <v>2134</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99"/>
      <c r="B500" s="4"/>
      <c r="C500" s="635"/>
      <c r="D500" s="625"/>
      <c r="E500" s="625"/>
      <c r="F500" s="644" t="s">
        <v>2121</v>
      </c>
      <c r="G500" s="637"/>
      <c r="H500" s="637"/>
      <c r="I500" s="625"/>
      <c r="J500" s="625"/>
      <c r="K500" s="625"/>
      <c r="L500" s="625"/>
      <c r="M500" s="625"/>
      <c r="N500" s="625"/>
      <c r="O500" s="625"/>
      <c r="P500" s="625"/>
      <c r="Q500" s="625"/>
      <c r="R500" s="625"/>
      <c r="S500" s="625"/>
      <c r="T500" s="625"/>
      <c r="U500" s="625"/>
      <c r="V500" s="1578" t="s">
        <v>325</v>
      </c>
      <c r="W500" s="1578"/>
      <c r="X500" s="1578"/>
      <c r="Y500" s="625"/>
      <c r="Z500" s="625"/>
      <c r="AA500" s="625"/>
      <c r="AB500" s="625"/>
      <c r="AC500" s="625"/>
      <c r="AD500" s="625"/>
      <c r="AE500" s="625"/>
      <c r="AF500" s="625"/>
      <c r="AG500" s="647">
        <f>IF(AND($C$484="Yes",$V$487="N/A",$V$489="N/A",$V$494="N/A",$V$498="N/A"),(VLOOKUP($V$500,$BA$463:$BB$465,2,FALSE)),0)</f>
        <v>0</v>
      </c>
      <c r="AH500" s="640" t="s">
        <v>2115</v>
      </c>
      <c r="AI500" s="625"/>
      <c r="AJ500" s="625"/>
      <c r="AK500" s="626"/>
      <c r="AL500" s="4"/>
      <c r="AM500" s="4"/>
      <c r="AN500" s="590"/>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28"/>
      <c r="DO500" s="228"/>
      <c r="DP500" s="228"/>
      <c r="DQ500" s="228"/>
      <c r="DR500" s="228"/>
      <c r="DS500" s="228"/>
      <c r="DT500" s="228"/>
      <c r="DU500" s="228"/>
      <c r="DV500" s="228"/>
      <c r="DW500" s="228"/>
      <c r="DX500" s="228"/>
      <c r="DY500" s="228"/>
      <c r="DZ500" s="228"/>
      <c r="EA500" s="228"/>
      <c r="EB500" s="228"/>
      <c r="EC500" s="228"/>
      <c r="ED500" s="228"/>
      <c r="EE500" s="228"/>
      <c r="EF500" s="228"/>
      <c r="EG500" s="228"/>
      <c r="EH500" s="228"/>
      <c r="EI500" s="228"/>
      <c r="EJ500" s="228"/>
      <c r="EK500" s="228"/>
      <c r="EL500" s="228"/>
      <c r="EM500" s="228"/>
      <c r="EN500" s="228"/>
      <c r="EO500" s="228"/>
      <c r="EP500" s="228"/>
      <c r="EQ500" s="228"/>
    </row>
    <row r="501" spans="1:147" s="3" customFormat="1" ht="12.75" hidden="1" customHeight="1">
      <c r="A501" s="99"/>
      <c r="B501" s="4"/>
      <c r="C501" s="19"/>
      <c r="D501" s="4"/>
      <c r="E501" s="121"/>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90"/>
      <c r="AO501" s="227"/>
      <c r="AP501" s="4"/>
      <c r="AQ501" s="4"/>
      <c r="AR501" s="4"/>
      <c r="AS501" s="4"/>
      <c r="AT501" s="4"/>
      <c r="AU501" s="1771" t="s">
        <v>2135</v>
      </c>
      <c r="AV501" s="1772"/>
      <c r="AW501" s="1772"/>
      <c r="AX501" s="1772"/>
      <c r="AY501" s="1772"/>
      <c r="AZ501" s="1772"/>
      <c r="BA501" s="1772"/>
      <c r="BB501" s="20"/>
      <c r="BC501" s="20"/>
      <c r="BE501" s="4"/>
      <c r="BF501" s="4"/>
      <c r="BG501" s="4"/>
      <c r="BH501" s="4"/>
      <c r="BI501" s="4"/>
      <c r="BJ501" s="1705" t="s">
        <v>2136</v>
      </c>
      <c r="BK501" s="1706"/>
      <c r="BL501" s="1706"/>
      <c r="BM501" s="1706"/>
      <c r="BN501" s="1706"/>
      <c r="BO501" s="1706"/>
      <c r="BP501" s="1706"/>
      <c r="BQ501" s="20"/>
      <c r="BR501" s="4"/>
      <c r="DN501" s="228"/>
      <c r="DO501" s="228"/>
      <c r="DP501" s="228"/>
      <c r="DQ501" s="228"/>
      <c r="DR501" s="228"/>
      <c r="DS501" s="228"/>
      <c r="DT501" s="228"/>
      <c r="DU501" s="228"/>
      <c r="DV501" s="228"/>
      <c r="DW501" s="228"/>
      <c r="DX501" s="228"/>
      <c r="DY501" s="228"/>
      <c r="DZ501" s="228"/>
      <c r="EA501" s="228"/>
      <c r="EB501" s="228"/>
      <c r="EC501" s="228"/>
      <c r="ED501" s="228"/>
      <c r="EE501" s="228"/>
      <c r="EF501" s="228"/>
      <c r="EG501" s="228"/>
      <c r="EH501" s="228"/>
      <c r="EI501" s="228"/>
      <c r="EJ501" s="228"/>
      <c r="EK501" s="228"/>
      <c r="EL501" s="228"/>
      <c r="EM501" s="228"/>
      <c r="EN501" s="228"/>
      <c r="EO501" s="228"/>
      <c r="EP501" s="228"/>
      <c r="EQ501" s="228"/>
    </row>
    <row r="502" spans="1:147" s="3" customFormat="1" ht="12.75" hidden="1" customHeight="1">
      <c r="A502" s="99"/>
      <c r="B502" s="4"/>
      <c r="C502" s="160" t="s">
        <v>2137</v>
      </c>
      <c r="D502" s="4"/>
      <c r="E502" s="121"/>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590"/>
      <c r="AO502" s="227"/>
      <c r="AP502" s="4"/>
      <c r="AQ502" s="4"/>
      <c r="AR502" s="4"/>
      <c r="AS502" s="4"/>
      <c r="AT502" s="4"/>
      <c r="AU502" s="1771"/>
      <c r="AV502" s="1772"/>
      <c r="AW502" s="1772"/>
      <c r="AX502" s="1772"/>
      <c r="AY502" s="1772"/>
      <c r="AZ502" s="1772"/>
      <c r="BA502" s="1772"/>
      <c r="BB502" s="20"/>
      <c r="BC502" s="20"/>
      <c r="BE502" s="4"/>
      <c r="BF502" s="4"/>
      <c r="BG502" s="4"/>
      <c r="BH502" s="4"/>
      <c r="BI502" s="4"/>
      <c r="BJ502" s="1705"/>
      <c r="BK502" s="1706"/>
      <c r="BL502" s="1706"/>
      <c r="BM502" s="1706"/>
      <c r="BN502" s="1706"/>
      <c r="BO502" s="1706"/>
      <c r="BP502" s="1706"/>
      <c r="BQ502" s="20"/>
      <c r="BR502" s="4"/>
    </row>
    <row r="503" spans="1:147" customFormat="1" ht="12.75" hidden="1" customHeight="1">
      <c r="A503" s="99"/>
      <c r="B503" s="4"/>
      <c r="C503" s="1615" t="s">
        <v>325</v>
      </c>
      <c r="D503" s="1616"/>
      <c r="E503" s="655" t="s">
        <v>45</v>
      </c>
      <c r="F503" s="1605" t="s">
        <v>2113</v>
      </c>
      <c r="G503" s="1605"/>
      <c r="H503" s="1605"/>
      <c r="I503" s="1605"/>
      <c r="J503" s="1605"/>
      <c r="K503" s="1605"/>
      <c r="L503" s="1605"/>
      <c r="M503" s="1605"/>
      <c r="N503" s="1605"/>
      <c r="O503" s="1605"/>
      <c r="P503" s="1605"/>
      <c r="Q503" s="1605"/>
      <c r="R503" s="1605"/>
      <c r="S503" s="1605"/>
      <c r="T503" s="1605"/>
      <c r="U503" s="1605"/>
      <c r="V503" s="1605"/>
      <c r="W503" s="1605"/>
      <c r="X503" s="1605"/>
      <c r="Y503" s="1605"/>
      <c r="Z503" s="1605"/>
      <c r="AA503" s="1605"/>
      <c r="AB503" s="1605"/>
      <c r="AC503" s="1605"/>
      <c r="AD503" s="1605"/>
      <c r="AE503" s="1605"/>
      <c r="AF503" s="610"/>
      <c r="AG503" s="650"/>
      <c r="AH503" s="650"/>
      <c r="AI503" s="650"/>
      <c r="AJ503" s="650"/>
      <c r="AK503" s="632"/>
      <c r="AL503" s="4"/>
      <c r="AM503" s="4"/>
      <c r="AN503" s="583"/>
      <c r="AO503" s="34"/>
      <c r="AP503" s="4"/>
      <c r="AQ503" s="4"/>
      <c r="AR503" s="4"/>
      <c r="AS503" s="4"/>
      <c r="AT503" s="4">
        <v>60</v>
      </c>
      <c r="AU503" s="137">
        <v>55</v>
      </c>
      <c r="AV503" s="137">
        <v>50</v>
      </c>
      <c r="AW503" s="137">
        <v>45</v>
      </c>
      <c r="AX503" s="137">
        <v>40</v>
      </c>
      <c r="AY503" s="137">
        <v>35</v>
      </c>
      <c r="AZ503" s="137">
        <v>30</v>
      </c>
      <c r="BA503" s="137">
        <v>20</v>
      </c>
      <c r="BB503" s="4"/>
      <c r="BC503" s="4"/>
      <c r="BE503" s="4"/>
      <c r="BF503" s="4"/>
      <c r="BG503" s="4"/>
      <c r="BH503" s="4"/>
      <c r="BI503" s="4">
        <v>60</v>
      </c>
      <c r="BJ503" s="137">
        <v>55</v>
      </c>
      <c r="BK503" s="137">
        <v>50</v>
      </c>
      <c r="BL503" s="137">
        <v>45</v>
      </c>
      <c r="BM503" s="137">
        <v>40</v>
      </c>
      <c r="BN503" s="137">
        <v>35</v>
      </c>
      <c r="BO503" s="137">
        <v>30</v>
      </c>
      <c r="BP503" s="137">
        <v>20</v>
      </c>
      <c r="BQ503" s="4"/>
      <c r="BR503" s="4"/>
    </row>
    <row r="504" spans="1:147" customFormat="1" ht="12.75" hidden="1" customHeight="1">
      <c r="A504" s="99"/>
      <c r="B504" s="4"/>
      <c r="C504" s="634"/>
      <c r="D504" s="4"/>
      <c r="E504" s="121"/>
      <c r="F504" s="1606"/>
      <c r="G504" s="1606"/>
      <c r="H504" s="1606"/>
      <c r="I504" s="1606"/>
      <c r="J504" s="1606"/>
      <c r="K504" s="1606"/>
      <c r="L504" s="1606"/>
      <c r="M504" s="1606"/>
      <c r="N504" s="1606"/>
      <c r="O504" s="1606"/>
      <c r="P504" s="1606"/>
      <c r="Q504" s="1606"/>
      <c r="R504" s="1606"/>
      <c r="S504" s="1606"/>
      <c r="T504" s="1606"/>
      <c r="U504" s="1606"/>
      <c r="V504" s="1606"/>
      <c r="W504" s="1606"/>
      <c r="X504" s="1606"/>
      <c r="Y504" s="1606"/>
      <c r="Z504" s="1606"/>
      <c r="AA504" s="1606"/>
      <c r="AB504" s="1606"/>
      <c r="AC504" s="1606"/>
      <c r="AD504" s="1606"/>
      <c r="AE504" s="1606"/>
      <c r="AF504" s="4"/>
      <c r="AG504" s="19"/>
      <c r="AH504" s="19"/>
      <c r="AI504" s="19"/>
      <c r="AJ504" s="19"/>
      <c r="AK504" s="617"/>
      <c r="AL504" s="4"/>
      <c r="AM504" s="4"/>
      <c r="AN504" s="583"/>
      <c r="AO504" s="34"/>
      <c r="AP504" s="1079" t="s">
        <v>2138</v>
      </c>
      <c r="AQ504" s="1080"/>
      <c r="AR504" s="1081"/>
      <c r="AS504" s="543">
        <v>80</v>
      </c>
      <c r="AT504" s="4">
        <v>0</v>
      </c>
      <c r="AU504" s="138">
        <v>10</v>
      </c>
      <c r="AV504" s="138">
        <v>25</v>
      </c>
      <c r="AW504" s="138">
        <v>37.5</v>
      </c>
      <c r="AX504" s="138">
        <v>35</v>
      </c>
      <c r="AY504" s="138">
        <v>37.5</v>
      </c>
      <c r="AZ504" s="138">
        <v>50</v>
      </c>
      <c r="BA504" s="138">
        <v>50</v>
      </c>
      <c r="BB504" s="21"/>
      <c r="BC504" s="21"/>
      <c r="BE504" s="1079" t="s">
        <v>2138</v>
      </c>
      <c r="BF504" s="1080"/>
      <c r="BG504" s="1081"/>
      <c r="BH504" s="543">
        <v>80</v>
      </c>
      <c r="BI504" s="4">
        <v>0</v>
      </c>
      <c r="BJ504" s="139">
        <v>0</v>
      </c>
      <c r="BK504" s="138">
        <v>25</v>
      </c>
      <c r="BL504" s="138">
        <v>37.5</v>
      </c>
      <c r="BM504" s="138">
        <v>35</v>
      </c>
      <c r="BN504" s="138">
        <v>37.5</v>
      </c>
      <c r="BO504" s="138">
        <v>50</v>
      </c>
      <c r="BP504" s="138">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99"/>
      <c r="B505" s="4"/>
      <c r="C505" s="635"/>
      <c r="D505" s="625"/>
      <c r="E505" s="636"/>
      <c r="F505" s="1603" t="s">
        <v>325</v>
      </c>
      <c r="G505" s="1603"/>
      <c r="H505" s="1603"/>
      <c r="I505" s="1603"/>
      <c r="J505" s="1603"/>
      <c r="K505" s="1603"/>
      <c r="L505" s="1603"/>
      <c r="M505" s="1603"/>
      <c r="N505" s="1603"/>
      <c r="O505" s="1603"/>
      <c r="P505" s="1603"/>
      <c r="Q505" s="1603"/>
      <c r="R505" s="1603"/>
      <c r="S505" s="1603"/>
      <c r="T505" s="1603"/>
      <c r="U505" s="1603"/>
      <c r="V505" s="1603"/>
      <c r="W505" s="1603"/>
      <c r="X505" s="1603"/>
      <c r="Y505" s="1603"/>
      <c r="Z505" s="1603"/>
      <c r="AA505" s="637"/>
      <c r="AB505" s="638"/>
      <c r="AC505" s="638"/>
      <c r="AD505" s="625"/>
      <c r="AE505" s="625"/>
      <c r="AF505" s="625"/>
      <c r="AG505" s="639">
        <f>IF($C$503="Yes",(VLOOKUP($F$505,$AO$473:$AP$481,2,FALSE)),0)</f>
        <v>0</v>
      </c>
      <c r="AH505" s="640" t="s">
        <v>2115</v>
      </c>
      <c r="AI505" s="639"/>
      <c r="AJ505" s="638"/>
      <c r="AK505" s="626"/>
      <c r="AL505" s="4"/>
      <c r="AM505" s="4"/>
      <c r="AN505" s="583"/>
      <c r="AO505" s="34"/>
      <c r="AP505" s="1082"/>
      <c r="AQ505" s="1083"/>
      <c r="AR505" s="1084"/>
      <c r="AS505" s="543">
        <v>75</v>
      </c>
      <c r="AT505" s="4">
        <v>0</v>
      </c>
      <c r="AU505" s="138">
        <v>10</v>
      </c>
      <c r="AV505" s="138">
        <v>25</v>
      </c>
      <c r="AW505" s="138">
        <v>37.5</v>
      </c>
      <c r="AX505" s="138">
        <v>35</v>
      </c>
      <c r="AY505" s="138">
        <v>37.5</v>
      </c>
      <c r="AZ505" s="138">
        <v>50</v>
      </c>
      <c r="BA505" s="138">
        <v>50</v>
      </c>
      <c r="BB505" s="21"/>
      <c r="BC505" s="21"/>
      <c r="BE505" s="1082"/>
      <c r="BF505" s="1083"/>
      <c r="BG505" s="1084"/>
      <c r="BH505" s="543">
        <v>75</v>
      </c>
      <c r="BI505" s="4">
        <v>0</v>
      </c>
      <c r="BJ505" s="139">
        <v>0</v>
      </c>
      <c r="BK505" s="138">
        <v>25</v>
      </c>
      <c r="BL505" s="138">
        <v>37.5</v>
      </c>
      <c r="BM505" s="138">
        <v>35</v>
      </c>
      <c r="BN505" s="138">
        <v>37.5</v>
      </c>
      <c r="BO505" s="138">
        <v>50</v>
      </c>
      <c r="BP505" s="138">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99"/>
      <c r="B506" s="4"/>
      <c r="C506" s="160"/>
      <c r="D506" s="4"/>
      <c r="E506" s="121"/>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583"/>
      <c r="AO506" s="34"/>
      <c r="AP506" s="1082"/>
      <c r="AQ506" s="1083"/>
      <c r="AR506" s="1084"/>
      <c r="AS506" s="543">
        <v>70</v>
      </c>
      <c r="AT506" s="4">
        <v>0</v>
      </c>
      <c r="AU506" s="138">
        <v>10</v>
      </c>
      <c r="AV506" s="138">
        <v>25</v>
      </c>
      <c r="AW506" s="138">
        <v>37.5</v>
      </c>
      <c r="AX506" s="138">
        <v>35</v>
      </c>
      <c r="AY506" s="138">
        <v>37.5</v>
      </c>
      <c r="AZ506" s="138">
        <v>50</v>
      </c>
      <c r="BA506" s="138">
        <v>50</v>
      </c>
      <c r="BB506" s="21"/>
      <c r="BC506" s="21"/>
      <c r="BE506" s="1082"/>
      <c r="BF506" s="1083"/>
      <c r="BG506" s="1084"/>
      <c r="BH506" s="543">
        <v>70</v>
      </c>
      <c r="BI506" s="4">
        <v>0</v>
      </c>
      <c r="BJ506" s="139">
        <v>0</v>
      </c>
      <c r="BK506" s="138">
        <v>25</v>
      </c>
      <c r="BL506" s="138">
        <v>37.5</v>
      </c>
      <c r="BM506" s="138">
        <v>35</v>
      </c>
      <c r="BN506" s="138">
        <v>37.5</v>
      </c>
      <c r="BO506" s="138">
        <v>50</v>
      </c>
      <c r="BP506" s="138">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15" t="s">
        <v>325</v>
      </c>
      <c r="D507" s="1616"/>
      <c r="E507" s="655" t="s">
        <v>47</v>
      </c>
      <c r="F507" s="1599" t="s">
        <v>2139</v>
      </c>
      <c r="G507" s="1599"/>
      <c r="H507" s="1599"/>
      <c r="I507" s="1599"/>
      <c r="J507" s="1599"/>
      <c r="K507" s="1599"/>
      <c r="L507" s="1599"/>
      <c r="M507" s="1599"/>
      <c r="N507" s="1599"/>
      <c r="O507" s="1599"/>
      <c r="P507" s="1599"/>
      <c r="Q507" s="1599"/>
      <c r="R507" s="1599"/>
      <c r="S507" s="1599"/>
      <c r="T507" s="1599"/>
      <c r="U507" s="1599"/>
      <c r="V507" s="1599"/>
      <c r="W507" s="1599"/>
      <c r="X507" s="1599"/>
      <c r="Y507" s="1599"/>
      <c r="Z507" s="1599"/>
      <c r="AA507" s="1599"/>
      <c r="AB507" s="1599"/>
      <c r="AC507" s="1599"/>
      <c r="AD507" s="1599"/>
      <c r="AE507" s="1599"/>
      <c r="AF507" s="610"/>
      <c r="AG507" s="642"/>
      <c r="AH507" s="642"/>
      <c r="AI507" s="642"/>
      <c r="AJ507" s="642"/>
      <c r="AK507" s="632"/>
      <c r="AL507" s="4"/>
      <c r="AM507" s="4"/>
      <c r="AN507" s="583"/>
      <c r="AO507" s="34"/>
      <c r="AP507" s="1082"/>
      <c r="AQ507" s="1083"/>
      <c r="AR507" s="1084"/>
      <c r="AS507" s="543">
        <v>65</v>
      </c>
      <c r="AT507" s="4">
        <v>0</v>
      </c>
      <c r="AU507" s="138">
        <v>10</v>
      </c>
      <c r="AV507" s="138">
        <v>25</v>
      </c>
      <c r="AW507" s="138">
        <v>37.5</v>
      </c>
      <c r="AX507" s="138">
        <v>35</v>
      </c>
      <c r="AY507" s="138">
        <v>37.5</v>
      </c>
      <c r="AZ507" s="138">
        <v>50</v>
      </c>
      <c r="BA507" s="138">
        <v>50</v>
      </c>
      <c r="BB507" s="21"/>
      <c r="BC507" s="21"/>
      <c r="BE507" s="1082"/>
      <c r="BF507" s="1083"/>
      <c r="BG507" s="1084"/>
      <c r="BH507" s="543">
        <v>65</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634"/>
      <c r="D508" s="4"/>
      <c r="E508" s="121"/>
      <c r="F508" s="1600"/>
      <c r="G508" s="1600"/>
      <c r="H508" s="1600"/>
      <c r="I508" s="1600"/>
      <c r="J508" s="1600"/>
      <c r="K508" s="1600"/>
      <c r="L508" s="1600"/>
      <c r="M508" s="1600"/>
      <c r="N508" s="1600"/>
      <c r="O508" s="1600"/>
      <c r="P508" s="1600"/>
      <c r="Q508" s="1600"/>
      <c r="R508" s="1600"/>
      <c r="S508" s="1600"/>
      <c r="T508" s="1600"/>
      <c r="U508" s="1600"/>
      <c r="V508" s="1600"/>
      <c r="W508" s="1600"/>
      <c r="X508" s="1600"/>
      <c r="Y508" s="1600"/>
      <c r="Z508" s="1600"/>
      <c r="AA508" s="1600"/>
      <c r="AB508" s="1600"/>
      <c r="AC508" s="1600"/>
      <c r="AD508" s="1600"/>
      <c r="AE508" s="1600"/>
      <c r="AF508" s="4"/>
      <c r="AG508" s="19"/>
      <c r="AH508" s="19"/>
      <c r="AI508" s="19"/>
      <c r="AJ508" s="19"/>
      <c r="AK508" s="617"/>
      <c r="AL508" s="4"/>
      <c r="AM508" s="4"/>
      <c r="AN508" s="583"/>
      <c r="AO508" s="34"/>
      <c r="AP508" s="1082"/>
      <c r="AQ508" s="1083"/>
      <c r="AR508" s="1084"/>
      <c r="AS508" s="543">
        <v>60</v>
      </c>
      <c r="AT508" s="4">
        <v>0</v>
      </c>
      <c r="AU508" s="138">
        <v>10</v>
      </c>
      <c r="AV508" s="138">
        <v>25</v>
      </c>
      <c r="AW508" s="138">
        <v>37.5</v>
      </c>
      <c r="AX508" s="138">
        <v>35</v>
      </c>
      <c r="AY508" s="138">
        <v>37.5</v>
      </c>
      <c r="AZ508" s="138">
        <v>50</v>
      </c>
      <c r="BA508" s="138">
        <v>50</v>
      </c>
      <c r="BB508" s="21"/>
      <c r="BC508" s="21"/>
      <c r="BE508" s="1082"/>
      <c r="BF508" s="1083"/>
      <c r="BG508" s="1084"/>
      <c r="BH508" s="543">
        <v>60</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619"/>
      <c r="D509" s="4"/>
      <c r="E509" s="4"/>
      <c r="F509" s="484" t="s">
        <v>2140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84"/>
      <c r="AH509" s="84"/>
      <c r="AI509" s="84"/>
      <c r="AJ509" s="84"/>
      <c r="AK509" s="617"/>
      <c r="AL509" s="4"/>
      <c r="AM509" s="4"/>
      <c r="AN509" s="583"/>
      <c r="AP509" s="1082"/>
      <c r="AQ509" s="1083"/>
      <c r="AR509" s="1084"/>
      <c r="AS509" s="543">
        <v>55</v>
      </c>
      <c r="AT509" s="4">
        <v>0</v>
      </c>
      <c r="AU509" s="138">
        <v>10</v>
      </c>
      <c r="AV509" s="138">
        <v>25</v>
      </c>
      <c r="AW509" s="138">
        <v>37.5</v>
      </c>
      <c r="AX509" s="138">
        <v>35</v>
      </c>
      <c r="AY509" s="138">
        <v>37.5</v>
      </c>
      <c r="AZ509" s="138">
        <v>50</v>
      </c>
      <c r="BA509" s="138">
        <v>50</v>
      </c>
      <c r="BE509" s="1082"/>
      <c r="BF509" s="1083"/>
      <c r="BG509" s="1084"/>
      <c r="BH509" s="543">
        <v>55</v>
      </c>
      <c r="BI509" s="4">
        <v>0</v>
      </c>
      <c r="BJ509" s="139">
        <v>0</v>
      </c>
      <c r="BK509" s="138">
        <v>25</v>
      </c>
      <c r="BL509" s="138">
        <v>37.5</v>
      </c>
      <c r="BM509" s="138">
        <v>35</v>
      </c>
      <c r="BN509" s="138">
        <v>37.5</v>
      </c>
      <c r="BO509" s="138">
        <v>50</v>
      </c>
      <c r="BP509" s="138">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635"/>
      <c r="D510" s="625"/>
      <c r="E510" s="636"/>
      <c r="F510" s="1604" t="s">
        <v>325</v>
      </c>
      <c r="G510" s="1604"/>
      <c r="H510" s="1604"/>
      <c r="I510" s="638"/>
      <c r="J510" s="638"/>
      <c r="K510" s="638"/>
      <c r="L510" s="638"/>
      <c r="M510" s="638"/>
      <c r="N510" s="638"/>
      <c r="O510" s="638"/>
      <c r="P510" s="638"/>
      <c r="Q510" s="638"/>
      <c r="R510" s="638"/>
      <c r="S510" s="638"/>
      <c r="T510" s="638"/>
      <c r="U510" s="638"/>
      <c r="V510" s="638"/>
      <c r="W510" s="638"/>
      <c r="X510" s="638"/>
      <c r="Y510" s="638"/>
      <c r="Z510" s="638"/>
      <c r="AA510" s="638"/>
      <c r="AB510" s="638"/>
      <c r="AC510" s="638"/>
      <c r="AD510" s="625"/>
      <c r="AE510" s="625"/>
      <c r="AF510" s="625"/>
      <c r="AG510" s="639">
        <f>IF($C$507="Yes",(VLOOKUP($F$510,$AO$483:$AP$485,2,FALSE)),0)</f>
        <v>0</v>
      </c>
      <c r="AH510" s="640" t="s">
        <v>2115</v>
      </c>
      <c r="AI510" s="638"/>
      <c r="AJ510" s="638"/>
      <c r="AK510" s="626"/>
      <c r="AL510" s="4"/>
      <c r="AM510" s="4"/>
      <c r="AN510" s="583"/>
      <c r="AP510" s="1082"/>
      <c r="AQ510" s="1083"/>
      <c r="AR510" s="1084"/>
      <c r="AS510" s="137">
        <v>50</v>
      </c>
      <c r="AT510" s="4">
        <v>0</v>
      </c>
      <c r="AU510" s="138">
        <v>10</v>
      </c>
      <c r="AV510" s="138">
        <v>25</v>
      </c>
      <c r="AW510" s="138">
        <v>37.5</v>
      </c>
      <c r="AX510" s="138">
        <v>35</v>
      </c>
      <c r="AY510" s="138">
        <v>37.5</v>
      </c>
      <c r="AZ510" s="138">
        <v>50</v>
      </c>
      <c r="BA510" s="138">
        <v>50</v>
      </c>
      <c r="BE510" s="1082"/>
      <c r="BF510" s="1083"/>
      <c r="BG510" s="1084"/>
      <c r="BH510" s="137">
        <v>50</v>
      </c>
      <c r="BI510" s="4">
        <v>0</v>
      </c>
      <c r="BJ510" s="139">
        <v>0</v>
      </c>
      <c r="BK510" s="138">
        <v>25</v>
      </c>
      <c r="BL510" s="138">
        <v>37.5</v>
      </c>
      <c r="BM510" s="138">
        <v>35</v>
      </c>
      <c r="BN510" s="138">
        <v>37.5</v>
      </c>
      <c r="BO510" s="138">
        <v>50</v>
      </c>
      <c r="BP510" s="138">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84"/>
      <c r="AH511" s="107"/>
      <c r="AI511" s="19"/>
      <c r="AJ511" s="19"/>
      <c r="AK511" s="4"/>
      <c r="AL511" s="4"/>
      <c r="AM511" s="4"/>
      <c r="AN511" s="583"/>
      <c r="AP511" s="1082"/>
      <c r="AQ511" s="1083"/>
      <c r="AR511" s="1084"/>
      <c r="AS511" s="137">
        <v>45</v>
      </c>
      <c r="AT511" s="4">
        <v>0</v>
      </c>
      <c r="AU511" s="138">
        <v>10</v>
      </c>
      <c r="AV511" s="138">
        <v>22.5</v>
      </c>
      <c r="AW511" s="138">
        <v>33.799999999999997</v>
      </c>
      <c r="AX511" s="138">
        <v>35</v>
      </c>
      <c r="AY511" s="138">
        <v>37.5</v>
      </c>
      <c r="AZ511" s="138">
        <v>50</v>
      </c>
      <c r="BA511" s="138">
        <v>50</v>
      </c>
      <c r="BE511" s="1082"/>
      <c r="BF511" s="1083"/>
      <c r="BG511" s="1084"/>
      <c r="BH511" s="137">
        <v>45</v>
      </c>
      <c r="BI511" s="4">
        <v>0</v>
      </c>
      <c r="BJ511" s="139">
        <v>0</v>
      </c>
      <c r="BK511" s="138">
        <v>22.5</v>
      </c>
      <c r="BL511" s="138">
        <v>33.799999999999997</v>
      </c>
      <c r="BM511" s="138">
        <v>35</v>
      </c>
      <c r="BN511" s="138">
        <v>37.5</v>
      </c>
      <c r="BO511" s="138">
        <v>50</v>
      </c>
      <c r="BP511" s="138">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15" t="s">
        <v>325</v>
      </c>
      <c r="D512" s="1616"/>
      <c r="E512" s="655" t="s">
        <v>2141</v>
      </c>
      <c r="F512" s="649" t="s">
        <v>2142</v>
      </c>
      <c r="G512" s="642"/>
      <c r="H512" s="642"/>
      <c r="I512" s="642"/>
      <c r="J512" s="642"/>
      <c r="K512" s="642"/>
      <c r="L512" s="642"/>
      <c r="M512" s="642"/>
      <c r="N512" s="642"/>
      <c r="O512" s="642"/>
      <c r="P512" s="642"/>
      <c r="Q512" s="642"/>
      <c r="R512" s="642"/>
      <c r="S512" s="642"/>
      <c r="T512" s="642"/>
      <c r="U512" s="642"/>
      <c r="V512" s="642"/>
      <c r="W512" s="642"/>
      <c r="X512" s="642"/>
      <c r="Y512" s="642"/>
      <c r="Z512" s="642"/>
      <c r="AA512" s="642"/>
      <c r="AB512" s="642"/>
      <c r="AC512" s="651"/>
      <c r="AD512" s="610"/>
      <c r="AE512" s="610"/>
      <c r="AF512" s="610"/>
      <c r="AG512" s="652"/>
      <c r="AH512" s="652"/>
      <c r="AI512" s="652"/>
      <c r="AJ512" s="652"/>
      <c r="AK512" s="632"/>
      <c r="AL512" s="4"/>
      <c r="AM512" s="4"/>
      <c r="AN512" s="583"/>
      <c r="AP512" s="1082"/>
      <c r="AQ512" s="1083"/>
      <c r="AR512" s="1084"/>
      <c r="AS512" s="137">
        <v>40</v>
      </c>
      <c r="AT512" s="4">
        <v>0</v>
      </c>
      <c r="AU512" s="138">
        <v>10</v>
      </c>
      <c r="AV512" s="138">
        <v>20</v>
      </c>
      <c r="AW512" s="138">
        <v>30</v>
      </c>
      <c r="AX512" s="138">
        <v>35</v>
      </c>
      <c r="AY512" s="138">
        <v>37.5</v>
      </c>
      <c r="AZ512" s="138">
        <v>50</v>
      </c>
      <c r="BA512" s="138">
        <v>50</v>
      </c>
      <c r="BE512" s="1082"/>
      <c r="BF512" s="1083"/>
      <c r="BG512" s="1084"/>
      <c r="BH512" s="137">
        <v>40</v>
      </c>
      <c r="BI512" s="4">
        <v>0</v>
      </c>
      <c r="BJ512" s="139">
        <v>0</v>
      </c>
      <c r="BK512" s="138">
        <v>20</v>
      </c>
      <c r="BL512" s="138">
        <v>30</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34"/>
      <c r="D513" s="4"/>
      <c r="E513" s="121"/>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617"/>
      <c r="AL513" s="4"/>
      <c r="AM513" s="4"/>
      <c r="AN513" s="583"/>
      <c r="AP513" s="1082"/>
      <c r="AQ513" s="1083"/>
      <c r="AR513" s="1084"/>
      <c r="AS513" s="137">
        <v>35</v>
      </c>
      <c r="AT513" s="4">
        <v>0</v>
      </c>
      <c r="AU513" s="138">
        <v>8.8000000000000007</v>
      </c>
      <c r="AV513" s="138">
        <v>17.5</v>
      </c>
      <c r="AW513" s="138">
        <v>26.3</v>
      </c>
      <c r="AX513" s="138">
        <v>35</v>
      </c>
      <c r="AY513" s="138">
        <v>37.5</v>
      </c>
      <c r="AZ513" s="138">
        <v>50</v>
      </c>
      <c r="BA513" s="138">
        <v>50</v>
      </c>
      <c r="BE513" s="1082"/>
      <c r="BF513" s="1083"/>
      <c r="BG513" s="1084"/>
      <c r="BH513" s="137">
        <v>35</v>
      </c>
      <c r="BI513" s="4">
        <v>0</v>
      </c>
      <c r="BJ513" s="139">
        <v>0</v>
      </c>
      <c r="BK513" s="138">
        <v>17.5</v>
      </c>
      <c r="BL513" s="138">
        <v>26.3</v>
      </c>
      <c r="BM513" s="138">
        <v>35</v>
      </c>
      <c r="BN513" s="138">
        <v>37.5</v>
      </c>
      <c r="BO513" s="138">
        <v>50</v>
      </c>
      <c r="BP513" s="138">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777"/>
      <c r="D514" s="981"/>
      <c r="E514" s="166"/>
      <c r="F514" s="19" t="s">
        <v>2143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f>IF($C$512="Yes",(VLOOKUP($G$515,$AO$490:$AP$493,2,FALSE)),0)</f>
        <v>0</v>
      </c>
      <c r="AH514" s="107" t="s">
        <v>2115</v>
      </c>
      <c r="AI514" s="19"/>
      <c r="AJ514" s="84"/>
      <c r="AK514" s="617"/>
      <c r="AL514" s="4"/>
      <c r="AM514" s="4"/>
      <c r="AN514" s="583"/>
      <c r="AP514" s="1082"/>
      <c r="AQ514" s="1083"/>
      <c r="AR514" s="1084"/>
      <c r="AS514" s="137">
        <v>30</v>
      </c>
      <c r="AT514" s="4">
        <v>0</v>
      </c>
      <c r="AU514" s="138">
        <v>7.5</v>
      </c>
      <c r="AV514" s="138">
        <v>15</v>
      </c>
      <c r="AW514" s="138">
        <v>22.5</v>
      </c>
      <c r="AX514" s="138">
        <v>30</v>
      </c>
      <c r="AY514" s="138">
        <v>37.5</v>
      </c>
      <c r="AZ514" s="138">
        <v>45</v>
      </c>
      <c r="BA514" s="138">
        <v>50</v>
      </c>
      <c r="BE514" s="1082"/>
      <c r="BF514" s="1083"/>
      <c r="BG514" s="1084"/>
      <c r="BH514" s="137">
        <v>30</v>
      </c>
      <c r="BI514" s="4">
        <v>0</v>
      </c>
      <c r="BJ514" s="139">
        <v>0</v>
      </c>
      <c r="BK514" s="138">
        <v>15</v>
      </c>
      <c r="BL514" s="138">
        <v>22.5</v>
      </c>
      <c r="BM514" s="138">
        <v>30</v>
      </c>
      <c r="BN514" s="138">
        <v>37.5</v>
      </c>
      <c r="BO514" s="138">
        <v>45</v>
      </c>
      <c r="BP514" s="138">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34"/>
      <c r="D515" s="4"/>
      <c r="E515" s="121"/>
      <c r="F515" s="19"/>
      <c r="G515" s="1774" t="s">
        <v>325</v>
      </c>
      <c r="H515" s="1774"/>
      <c r="I515" s="1774"/>
      <c r="J515" s="1774"/>
      <c r="K515" s="1774"/>
      <c r="L515" s="1774"/>
      <c r="M515" s="1774"/>
      <c r="N515" s="1774"/>
      <c r="O515" s="1774"/>
      <c r="P515" s="1774"/>
      <c r="Q515" s="1774"/>
      <c r="R515" s="1774"/>
      <c r="S515" s="1774"/>
      <c r="T515" s="1774"/>
      <c r="U515" s="1774"/>
      <c r="V515" s="1774"/>
      <c r="W515" s="1774"/>
      <c r="X515" s="1774"/>
      <c r="Y515" s="1774"/>
      <c r="Z515" s="1774"/>
      <c r="AA515" s="1774"/>
      <c r="AB515" s="1774"/>
      <c r="AC515" s="1774"/>
      <c r="AD515" s="1774"/>
      <c r="AE515" s="1774"/>
      <c r="AF515" s="1774"/>
      <c r="AG515" s="4"/>
      <c r="AH515" s="4"/>
      <c r="AI515" s="4"/>
      <c r="AJ515" s="19"/>
      <c r="AK515" s="617"/>
      <c r="AL515" s="4"/>
      <c r="AM515" s="4"/>
      <c r="AN515" s="583"/>
      <c r="AP515" s="1082"/>
      <c r="AQ515" s="1083"/>
      <c r="AR515" s="1084"/>
      <c r="AS515" s="137">
        <v>25</v>
      </c>
      <c r="AT515" s="4">
        <v>0</v>
      </c>
      <c r="AU515" s="138">
        <v>6.3</v>
      </c>
      <c r="AV515" s="138">
        <v>12.5</v>
      </c>
      <c r="AW515" s="138">
        <v>18.8</v>
      </c>
      <c r="AX515" s="138">
        <v>25</v>
      </c>
      <c r="AY515" s="138">
        <v>31.3</v>
      </c>
      <c r="AZ515" s="138">
        <v>37.5</v>
      </c>
      <c r="BA515" s="138">
        <v>50</v>
      </c>
      <c r="BE515" s="1082"/>
      <c r="BF515" s="1083"/>
      <c r="BG515" s="1084"/>
      <c r="BH515" s="137">
        <v>25</v>
      </c>
      <c r="BI515" s="4">
        <v>0</v>
      </c>
      <c r="BJ515" s="139">
        <v>0</v>
      </c>
      <c r="BK515" s="138">
        <v>12.5</v>
      </c>
      <c r="BL515" s="138">
        <v>18.8</v>
      </c>
      <c r="BM515" s="138">
        <v>25</v>
      </c>
      <c r="BN515" s="138">
        <v>31.3</v>
      </c>
      <c r="BO515" s="138">
        <v>37.5</v>
      </c>
      <c r="BP515" s="138">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16"/>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617"/>
      <c r="AL516" s="4"/>
      <c r="AM516" s="4"/>
      <c r="AN516" s="583"/>
      <c r="AP516" s="1082"/>
      <c r="AQ516" s="1083"/>
      <c r="AR516" s="1084"/>
      <c r="AS516" s="137">
        <v>20</v>
      </c>
      <c r="AT516" s="4">
        <v>0</v>
      </c>
      <c r="AU516" s="138">
        <v>5</v>
      </c>
      <c r="AV516" s="138">
        <v>10</v>
      </c>
      <c r="AW516" s="138">
        <v>15</v>
      </c>
      <c r="AX516" s="138">
        <v>20</v>
      </c>
      <c r="AY516" s="138">
        <v>25</v>
      </c>
      <c r="AZ516" s="138">
        <v>30</v>
      </c>
      <c r="BA516" s="138">
        <v>40</v>
      </c>
      <c r="BE516" s="1082"/>
      <c r="BF516" s="1083"/>
      <c r="BG516" s="1084"/>
      <c r="BH516" s="137">
        <v>20</v>
      </c>
      <c r="BI516" s="4">
        <v>0</v>
      </c>
      <c r="BJ516" s="139">
        <v>0</v>
      </c>
      <c r="BK516" s="138">
        <v>10</v>
      </c>
      <c r="BL516" s="138">
        <v>15</v>
      </c>
      <c r="BM516" s="138">
        <v>20</v>
      </c>
      <c r="BN516" s="138">
        <v>25</v>
      </c>
      <c r="BO516" s="138">
        <v>30</v>
      </c>
      <c r="BP516" s="138">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775" t="s">
        <v>325</v>
      </c>
      <c r="D517" s="1776"/>
      <c r="F517" s="19" t="s">
        <v>2144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IF(AND($C$517="Yes",$C$512="Yes"),2,0)</f>
        <v>0</v>
      </c>
      <c r="AH517" s="107" t="s">
        <v>2115</v>
      </c>
      <c r="AI517" s="19"/>
      <c r="AJ517" s="88"/>
      <c r="AK517" s="617"/>
      <c r="AL517" s="4"/>
      <c r="AM517" s="4"/>
      <c r="AN517" s="583"/>
      <c r="AP517" s="1082"/>
      <c r="AQ517" s="1083"/>
      <c r="AR517" s="1084"/>
      <c r="AS517" s="137">
        <v>15</v>
      </c>
      <c r="AT517" s="4">
        <v>0</v>
      </c>
      <c r="AU517" s="138">
        <v>3.8</v>
      </c>
      <c r="AV517" s="138">
        <v>7.5</v>
      </c>
      <c r="AW517" s="138">
        <v>11.3</v>
      </c>
      <c r="AX517" s="138">
        <v>15</v>
      </c>
      <c r="AY517" s="138">
        <v>18.8</v>
      </c>
      <c r="AZ517" s="138">
        <v>22.5</v>
      </c>
      <c r="BA517" s="138">
        <v>30</v>
      </c>
      <c r="BE517" s="1082"/>
      <c r="BF517" s="1083"/>
      <c r="BG517" s="1084"/>
      <c r="BH517" s="137">
        <v>15</v>
      </c>
      <c r="BI517" s="4">
        <v>0</v>
      </c>
      <c r="BJ517" s="139">
        <v>0</v>
      </c>
      <c r="BK517" s="138">
        <v>7.5</v>
      </c>
      <c r="BL517" s="138">
        <v>11.3</v>
      </c>
      <c r="BM517" s="138">
        <v>15</v>
      </c>
      <c r="BN517" s="138">
        <v>18.8</v>
      </c>
      <c r="BO517" s="138">
        <v>22.5</v>
      </c>
      <c r="BP517" s="138">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646"/>
      <c r="D518" s="1"/>
      <c r="E518" s="1"/>
      <c r="F518" s="19"/>
      <c r="G518" s="19" t="s">
        <v>2145</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88"/>
      <c r="AH518" s="88"/>
      <c r="AI518" s="88"/>
      <c r="AJ518" s="88"/>
      <c r="AK518" s="617"/>
      <c r="AL518" s="4"/>
      <c r="AM518" s="4"/>
      <c r="AN518" s="243"/>
      <c r="AP518" s="1085"/>
      <c r="AQ518" s="1086"/>
      <c r="AR518" s="1087"/>
      <c r="AS518" s="137">
        <v>10</v>
      </c>
      <c r="AT518" s="4">
        <v>0</v>
      </c>
      <c r="AU518" s="138">
        <v>2.5</v>
      </c>
      <c r="AV518" s="138">
        <v>5</v>
      </c>
      <c r="AW518" s="138">
        <v>7.5</v>
      </c>
      <c r="AX518" s="138">
        <v>10</v>
      </c>
      <c r="AY518" s="138">
        <v>12.5</v>
      </c>
      <c r="AZ518" s="138">
        <v>15</v>
      </c>
      <c r="BA518" s="138">
        <v>20</v>
      </c>
      <c r="BE518" s="1085"/>
      <c r="BF518" s="1086"/>
      <c r="BG518" s="1087"/>
      <c r="BH518" s="137">
        <v>10</v>
      </c>
      <c r="BI518" s="4">
        <v>0</v>
      </c>
      <c r="BJ518" s="139">
        <v>0</v>
      </c>
      <c r="BK518" s="138">
        <v>5</v>
      </c>
      <c r="BL518" s="138">
        <v>7.5</v>
      </c>
      <c r="BM518" s="138">
        <v>10</v>
      </c>
      <c r="BN518" s="138">
        <v>12.5</v>
      </c>
      <c r="BO518" s="138">
        <v>15</v>
      </c>
      <c r="BP518" s="138">
        <v>20</v>
      </c>
      <c r="BR518" s="4"/>
      <c r="CW518" s="4"/>
    </row>
    <row r="519" spans="1:122" s="4" customFormat="1" ht="12.75" hidden="1" customHeight="1">
      <c r="A519" s="21"/>
      <c r="C519" s="646"/>
      <c r="D519" s="1"/>
      <c r="E519" s="1"/>
      <c r="F519" s="19"/>
      <c r="G519" s="19" t="s">
        <v>2146</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88"/>
      <c r="AH519" s="88"/>
      <c r="AI519" s="88"/>
      <c r="AJ519" s="88"/>
      <c r="AK519" s="617"/>
      <c r="AN519" s="907"/>
      <c r="AP519" s="37"/>
      <c r="AQ519" s="37"/>
      <c r="AR519" s="37"/>
    </row>
    <row r="520" spans="1:122" s="4" customFormat="1" ht="12.75" hidden="1" customHeight="1">
      <c r="A520" s="32"/>
      <c r="B520" s="21"/>
      <c r="C520" s="653"/>
      <c r="D520" s="21"/>
      <c r="G520" s="25"/>
      <c r="H520" s="25"/>
      <c r="I520" s="25"/>
      <c r="J520" s="25"/>
      <c r="K520" s="25"/>
      <c r="L520" s="25"/>
      <c r="M520" s="25"/>
      <c r="N520" s="25"/>
      <c r="O520" s="25"/>
      <c r="P520" s="25"/>
      <c r="Q520" s="25"/>
      <c r="R520" s="25"/>
      <c r="S520" s="25"/>
      <c r="T520" s="25"/>
      <c r="U520" s="25"/>
      <c r="V520" s="25"/>
      <c r="W520" s="25"/>
      <c r="X520" s="25"/>
      <c r="Y520" s="25"/>
      <c r="Z520" s="25"/>
      <c r="AA520" s="25"/>
      <c r="AB520" s="25"/>
      <c r="AC520" s="25"/>
      <c r="AD520" s="25"/>
      <c r="AE520" s="25"/>
      <c r="AF520" s="25"/>
      <c r="AG520" s="18"/>
      <c r="AH520" s="18"/>
      <c r="AI520" s="18"/>
      <c r="AJ520" s="18"/>
      <c r="AK520" s="654"/>
      <c r="AL520" s="21"/>
      <c r="AM520" s="21"/>
      <c r="AN520" s="907"/>
      <c r="AO520" s="37"/>
      <c r="AP520" s="37"/>
      <c r="AQ520" s="37"/>
      <c r="AR520" s="37"/>
    </row>
    <row r="521" spans="1:122" s="4" customFormat="1" ht="12.75" hidden="1" customHeight="1">
      <c r="A521" s="32"/>
      <c r="C521" s="1775" t="s">
        <v>325</v>
      </c>
      <c r="D521" s="1776"/>
      <c r="F521" s="420" t="s">
        <v>2147</v>
      </c>
      <c r="G521" s="1582" t="s">
        <v>2148</v>
      </c>
      <c r="H521" s="1582"/>
      <c r="I521" s="1582"/>
      <c r="J521" s="1582"/>
      <c r="K521" s="1582"/>
      <c r="L521" s="1582"/>
      <c r="M521" s="1582"/>
      <c r="N521" s="1582"/>
      <c r="O521" s="1582"/>
      <c r="P521" s="1582"/>
      <c r="Q521" s="1582"/>
      <c r="R521" s="1582"/>
      <c r="S521" s="1582"/>
      <c r="T521" s="1582"/>
      <c r="U521" s="1582"/>
      <c r="V521" s="1582"/>
      <c r="W521" s="1582"/>
      <c r="X521" s="1582"/>
      <c r="Y521" s="1582"/>
      <c r="Z521" s="1582"/>
      <c r="AA521" s="1582"/>
      <c r="AB521" s="1582"/>
      <c r="AC521" s="1582"/>
      <c r="AD521" s="1582"/>
      <c r="AE521" s="1582"/>
      <c r="AF521" s="1582"/>
      <c r="AG521" s="84">
        <f>IF(AND($C$521="Yes",$C$512="Yes"),2,0)</f>
        <v>0</v>
      </c>
      <c r="AH521" s="107" t="s">
        <v>2115</v>
      </c>
      <c r="AI521" s="19"/>
      <c r="AJ521" s="88"/>
      <c r="AK521" s="617"/>
      <c r="AN521" s="907"/>
      <c r="AP521" s="76"/>
      <c r="AQ521" s="77"/>
      <c r="AR521" s="77"/>
      <c r="AS521" s="77"/>
      <c r="AT521" s="77"/>
      <c r="AU521" s="77"/>
      <c r="AV521" s="77"/>
      <c r="AW521" s="77"/>
      <c r="AX521" s="77"/>
      <c r="AY521" s="77"/>
      <c r="AZ521" s="146"/>
      <c r="BA521" s="77"/>
      <c r="BB521" s="77"/>
      <c r="BC521" s="52" t="s">
        <v>2149</v>
      </c>
      <c r="BD521" s="1768">
        <f>BJ525</f>
        <v>43</v>
      </c>
      <c r="BE521" s="1768"/>
      <c r="BF521" s="146" t="s">
        <v>2150</v>
      </c>
      <c r="BG521" s="77"/>
      <c r="BH521" s="77"/>
      <c r="BI521" s="77"/>
      <c r="BJ521" s="77"/>
      <c r="BK521" s="147"/>
      <c r="BM521"/>
      <c r="BN521" s="136" t="s">
        <v>2151</v>
      </c>
      <c r="BO521"/>
      <c r="BP521" s="136"/>
      <c r="BQ521" s="136"/>
      <c r="BR521" s="136"/>
      <c r="BS521" s="136"/>
      <c r="BT521" s="136"/>
      <c r="BU521" s="136"/>
      <c r="BV521"/>
      <c r="BW521"/>
      <c r="BX521"/>
      <c r="BY521"/>
      <c r="BZ521"/>
      <c r="CA521"/>
      <c r="CB521"/>
      <c r="CC521"/>
      <c r="CD521"/>
      <c r="CE521"/>
      <c r="CF521" s="55" t="s">
        <v>2152</v>
      </c>
      <c r="CG521"/>
      <c r="CH521"/>
      <c r="CI521"/>
      <c r="CJ521"/>
    </row>
    <row r="522" spans="1:122" s="4" customFormat="1" ht="12.75" hidden="1" customHeight="1">
      <c r="C522" s="916"/>
      <c r="D522" s="625"/>
      <c r="E522" s="636"/>
      <c r="F522" s="615"/>
      <c r="G522" s="1609"/>
      <c r="H522" s="1609"/>
      <c r="I522" s="1609"/>
      <c r="J522" s="1609"/>
      <c r="K522" s="1609"/>
      <c r="L522" s="1609"/>
      <c r="M522" s="1609"/>
      <c r="N522" s="1609"/>
      <c r="O522" s="1609"/>
      <c r="P522" s="1609"/>
      <c r="Q522" s="1609"/>
      <c r="R522" s="1609"/>
      <c r="S522" s="1609"/>
      <c r="T522" s="1609"/>
      <c r="U522" s="1609"/>
      <c r="V522" s="1609"/>
      <c r="W522" s="1609"/>
      <c r="X522" s="1609"/>
      <c r="Y522" s="1609"/>
      <c r="Z522" s="1609"/>
      <c r="AA522" s="1609"/>
      <c r="AB522" s="1609"/>
      <c r="AC522" s="1609"/>
      <c r="AD522" s="1609"/>
      <c r="AE522" s="1609"/>
      <c r="AF522" s="1609"/>
      <c r="AG522" s="638"/>
      <c r="AH522" s="638"/>
      <c r="AI522" s="638"/>
      <c r="AJ522" s="638"/>
      <c r="AK522" s="626"/>
      <c r="AN522" s="907"/>
      <c r="AP522" s="76"/>
      <c r="AQ522" s="77"/>
      <c r="AR522" s="77"/>
      <c r="AS522" s="77"/>
      <c r="AT522" s="77"/>
      <c r="AU522" s="77"/>
      <c r="AV522" s="77"/>
      <c r="AW522" s="77"/>
      <c r="AX522" s="77"/>
      <c r="AY522" s="77"/>
      <c r="AZ522" s="146"/>
      <c r="BA522" s="77"/>
      <c r="BB522" s="77"/>
      <c r="BC522" s="52" t="s">
        <v>2153</v>
      </c>
      <c r="BD522" s="1768">
        <f>SUM(E578:J586)</f>
        <v>43</v>
      </c>
      <c r="BE522" s="1768"/>
      <c r="BF522" s="146" t="s">
        <v>2150</v>
      </c>
      <c r="BG522" s="77"/>
      <c r="BH522" s="77"/>
      <c r="BI522" s="77"/>
      <c r="BJ522" s="77"/>
      <c r="BK522" s="147"/>
      <c r="BM522" s="353">
        <v>4</v>
      </c>
      <c r="BN522" s="352"/>
      <c r="BO522" s="353">
        <v>4</v>
      </c>
      <c r="BP522" s="352"/>
      <c r="BQ522" s="354">
        <v>3</v>
      </c>
      <c r="BR522" s="356"/>
      <c r="BS522" s="354">
        <v>3</v>
      </c>
      <c r="BT522" s="356"/>
      <c r="BU522" s="353">
        <v>2</v>
      </c>
      <c r="BV522" s="352"/>
      <c r="BW522" s="353">
        <v>2</v>
      </c>
      <c r="BX522" s="352"/>
      <c r="BY522" s="354">
        <v>1</v>
      </c>
      <c r="BZ522" s="356"/>
      <c r="CA522" s="354">
        <v>1</v>
      </c>
      <c r="CB522" s="356"/>
      <c r="CC522" s="353" t="s">
        <v>933</v>
      </c>
      <c r="CD522" s="352"/>
      <c r="CE522" s="353" t="s">
        <v>933</v>
      </c>
      <c r="CF522" s="352"/>
      <c r="CG522"/>
      <c r="CH522"/>
      <c r="CI522"/>
      <c r="CJ522"/>
    </row>
    <row r="523" spans="1:122" s="4" customFormat="1" ht="12.75" hidden="1" customHeight="1">
      <c r="C523" s="37"/>
      <c r="E523" s="121"/>
      <c r="F523" s="26"/>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19"/>
      <c r="AH523" s="19"/>
      <c r="AI523" s="19"/>
      <c r="AJ523" s="19"/>
      <c r="AN523" s="907"/>
      <c r="AP523" s="361"/>
      <c r="AQ523" s="146"/>
      <c r="AR523" s="146"/>
      <c r="AS523" s="146"/>
      <c r="AT523" s="146"/>
      <c r="AU523" s="146"/>
      <c r="AV523" s="146"/>
      <c r="AW523" s="146"/>
      <c r="AX523" s="146"/>
      <c r="AY523" s="146"/>
      <c r="AZ523" s="146"/>
      <c r="BA523" s="146"/>
      <c r="BB523" s="146"/>
      <c r="BC523" s="146"/>
      <c r="BD523" s="146"/>
      <c r="BE523" s="146"/>
      <c r="BF523" s="146"/>
      <c r="BG523" s="146"/>
      <c r="BH523" s="146"/>
      <c r="BI523" s="52" t="s">
        <v>2154</v>
      </c>
      <c r="BJ523" s="1760">
        <v>0</v>
      </c>
      <c r="BK523" s="1761"/>
      <c r="BM523" s="353">
        <f>IF(T605&gt;0,1,0)</f>
        <v>0</v>
      </c>
      <c r="BN523" s="352"/>
      <c r="BO523" s="353">
        <f>IF(Y605&gt;=0.1,1,0)</f>
        <v>0</v>
      </c>
      <c r="BP523" s="352"/>
      <c r="BQ523" s="354"/>
      <c r="BR523" s="356"/>
      <c r="BS523" s="354"/>
      <c r="BT523" s="356"/>
      <c r="BU523" s="353"/>
      <c r="BV523" s="352"/>
      <c r="BW523" s="353"/>
      <c r="BX523" s="352"/>
      <c r="BY523" s="354"/>
      <c r="BZ523" s="356"/>
      <c r="CA523" s="354"/>
      <c r="CB523" s="356"/>
      <c r="CC523" s="353"/>
      <c r="CD523" s="352"/>
      <c r="CE523" s="353"/>
      <c r="CF523" s="352"/>
      <c r="CG523"/>
      <c r="CH523"/>
      <c r="CI523"/>
      <c r="CJ523"/>
    </row>
    <row r="524" spans="1:122" s="4" customFormat="1" ht="12.75" hidden="1" customHeight="1">
      <c r="C524" s="656" t="s">
        <v>2155</v>
      </c>
      <c r="D524" s="610"/>
      <c r="E524" s="657"/>
      <c r="F524" s="658"/>
      <c r="G524" s="659"/>
      <c r="H524" s="659"/>
      <c r="I524" s="659"/>
      <c r="J524" s="659"/>
      <c r="K524" s="659"/>
      <c r="L524" s="659"/>
      <c r="M524" s="659"/>
      <c r="N524" s="659"/>
      <c r="O524" s="659"/>
      <c r="P524" s="659"/>
      <c r="Q524" s="659"/>
      <c r="R524" s="659"/>
      <c r="S524" s="659"/>
      <c r="T524" s="659"/>
      <c r="U524" s="659"/>
      <c r="V524" s="659"/>
      <c r="W524" s="659"/>
      <c r="X524" s="659"/>
      <c r="Y524" s="659"/>
      <c r="Z524" s="659"/>
      <c r="AA524" s="659"/>
      <c r="AB524" s="659"/>
      <c r="AC524" s="659"/>
      <c r="AD524" s="659"/>
      <c r="AE524" s="659"/>
      <c r="AF524" s="659"/>
      <c r="AG524" s="642"/>
      <c r="AH524" s="642"/>
      <c r="AI524" s="642"/>
      <c r="AJ524" s="642"/>
      <c r="AK524" s="632"/>
      <c r="AN524" s="243"/>
      <c r="AP524" s="361"/>
      <c r="AQ524" s="146"/>
      <c r="AR524" s="146"/>
      <c r="AS524" s="146"/>
      <c r="AT524" s="146"/>
      <c r="AU524" s="146"/>
      <c r="AV524" s="146"/>
      <c r="AW524" s="146"/>
      <c r="AX524" s="146"/>
      <c r="AY524" s="146"/>
      <c r="AZ524" s="146"/>
      <c r="BA524" s="146"/>
      <c r="BB524" s="146"/>
      <c r="BC524" s="146"/>
      <c r="BD524" s="146"/>
      <c r="BE524" s="146"/>
      <c r="BF524" s="146"/>
      <c r="BG524" s="146"/>
      <c r="BH524" s="146"/>
      <c r="BI524" s="362" t="s">
        <v>2156</v>
      </c>
      <c r="BJ524" s="1760">
        <f>Application!AG431</f>
        <v>0</v>
      </c>
      <c r="BK524" s="1761"/>
      <c r="BM524" s="353"/>
      <c r="BN524" s="352"/>
      <c r="BO524" s="353"/>
      <c r="BP524" s="352"/>
      <c r="BQ524" s="354">
        <f>IF(T606&gt;0,1,0)</f>
        <v>0</v>
      </c>
      <c r="BR524" s="356"/>
      <c r="BS524" s="354">
        <f>IF(Y606&gt;=0.1,1,0)</f>
        <v>0</v>
      </c>
      <c r="BT524" s="356"/>
      <c r="BU524" s="353"/>
      <c r="BV524" s="352"/>
      <c r="BW524" s="353"/>
      <c r="BX524" s="352"/>
      <c r="BY524" s="354"/>
      <c r="BZ524" s="356"/>
      <c r="CA524" s="354"/>
      <c r="CB524" s="356"/>
      <c r="CC524" s="353"/>
      <c r="CD524" s="352"/>
      <c r="CE524" s="353"/>
      <c r="CF524" s="352"/>
      <c r="CG524"/>
      <c r="CH524"/>
      <c r="CI524"/>
      <c r="CJ524"/>
    </row>
    <row r="525" spans="1:122" s="4" customFormat="1" ht="12.75" hidden="1" customHeight="1">
      <c r="C525" s="1612" t="s">
        <v>325</v>
      </c>
      <c r="D525" s="1069"/>
      <c r="E525" s="919" t="s">
        <v>2157</v>
      </c>
      <c r="F525" s="218" t="s">
        <v>2158</v>
      </c>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4">
        <f>IF(C$525="Yes",(VLOOKUP(F$526,$AO$496:$AP$499,2,FALSE)),0)</f>
        <v>0</v>
      </c>
      <c r="AH525" s="107" t="s">
        <v>2115</v>
      </c>
      <c r="AI525" s="19"/>
      <c r="AJ525" s="19"/>
      <c r="AK525" s="617"/>
      <c r="AN525" s="243"/>
      <c r="AP525" s="61"/>
      <c r="AQ525" s="363"/>
      <c r="AR525" s="363"/>
      <c r="AS525" s="363"/>
      <c r="AT525" s="363"/>
      <c r="AU525" s="363"/>
      <c r="AV525" s="363"/>
      <c r="AW525" s="363"/>
      <c r="AX525" s="363"/>
      <c r="AY525" s="363"/>
      <c r="AZ525" s="363"/>
      <c r="BA525" s="363"/>
      <c r="BB525" s="363"/>
      <c r="BC525" s="363"/>
      <c r="BD525" s="363"/>
      <c r="BE525" s="363"/>
      <c r="BF525" s="363"/>
      <c r="BG525" s="363"/>
      <c r="BH525" s="363"/>
      <c r="BI525" s="241" t="s">
        <v>2159</v>
      </c>
      <c r="BJ525" s="1760">
        <f>Application!AG433</f>
        <v>43</v>
      </c>
      <c r="BK525" s="1761"/>
      <c r="BM525" s="1650"/>
      <c r="BN525" s="1651"/>
      <c r="BO525" s="1650"/>
      <c r="BP525" s="1651"/>
      <c r="BQ525" s="1657"/>
      <c r="BR525" s="1659"/>
      <c r="BS525" s="1657"/>
      <c r="BT525" s="1659"/>
      <c r="BU525" s="1650">
        <f>IF(T607&gt;0,1,0)</f>
        <v>0</v>
      </c>
      <c r="BV525" s="1651"/>
      <c r="BW525" s="1650">
        <f>IF(Y607&gt;=0.1,1,0)</f>
        <v>0</v>
      </c>
      <c r="BX525" s="1651"/>
      <c r="BY525" s="1657"/>
      <c r="BZ525" s="1659"/>
      <c r="CA525" s="1657"/>
      <c r="CB525" s="1659"/>
      <c r="CC525" s="1650"/>
      <c r="CD525" s="1651"/>
      <c r="CE525" s="1650"/>
      <c r="CF525" s="1651"/>
      <c r="CG525"/>
      <c r="CH525"/>
      <c r="CI525"/>
      <c r="CJ525"/>
    </row>
    <row r="526" spans="1:122" s="4" customFormat="1" ht="12.75" hidden="1" customHeight="1">
      <c r="C526" s="915"/>
      <c r="E526" s="121"/>
      <c r="F526" s="1402" t="s">
        <v>325</v>
      </c>
      <c r="G526" s="1402"/>
      <c r="H526" s="1402"/>
      <c r="I526" s="1402"/>
      <c r="J526" s="1402"/>
      <c r="K526" s="1402"/>
      <c r="L526" s="1402"/>
      <c r="M526" s="1402"/>
      <c r="N526" s="1402"/>
      <c r="O526" s="1402"/>
      <c r="P526" s="1402"/>
      <c r="Q526" s="1402"/>
      <c r="R526" s="1402"/>
      <c r="S526" s="1402"/>
      <c r="T526" s="1402"/>
      <c r="U526" s="1402"/>
      <c r="V526" s="1402"/>
      <c r="W526" s="1402"/>
      <c r="X526" s="1402"/>
      <c r="Y526" s="1402"/>
      <c r="Z526" s="1402"/>
      <c r="AA526" s="1402"/>
      <c r="AB526" s="1402"/>
      <c r="AC526" s="1402"/>
      <c r="AD526" s="1402"/>
      <c r="AE526" s="1402"/>
      <c r="AF526" s="1402"/>
      <c r="AG526" s="19"/>
      <c r="AH526" s="19"/>
      <c r="AI526" s="19"/>
      <c r="AJ526" s="19"/>
      <c r="AK526" s="617"/>
      <c r="AN526" s="243"/>
      <c r="BM526" s="1650"/>
      <c r="BN526" s="1651"/>
      <c r="BO526" s="1650"/>
      <c r="BP526" s="1651"/>
      <c r="BQ526" s="1657"/>
      <c r="BR526" s="1659"/>
      <c r="BS526" s="1657"/>
      <c r="BT526" s="1659"/>
      <c r="BU526" s="1650"/>
      <c r="BV526" s="1651"/>
      <c r="BW526" s="1650"/>
      <c r="BX526" s="1651"/>
      <c r="BY526" s="1657">
        <f>IF(T608&gt;0,1,0)</f>
        <v>0</v>
      </c>
      <c r="BZ526" s="1659"/>
      <c r="CA526" s="1657">
        <f>IF(Y608&gt;=0.1,1,0)</f>
        <v>0</v>
      </c>
      <c r="CB526" s="1659"/>
      <c r="CC526" s="1650"/>
      <c r="CD526" s="1651"/>
      <c r="CE526" s="1650"/>
      <c r="CF526" s="1651"/>
      <c r="CG526"/>
      <c r="CH526"/>
      <c r="CI526"/>
      <c r="CJ526"/>
      <c r="CW526"/>
    </row>
    <row r="527" spans="1:122" s="4" customFormat="1" ht="12.75" hidden="1" customHeight="1">
      <c r="C527" s="916"/>
      <c r="D527" s="625"/>
      <c r="E527" s="636"/>
      <c r="F527" s="1596"/>
      <c r="G527" s="1596"/>
      <c r="H527" s="1596"/>
      <c r="I527" s="1596"/>
      <c r="J527" s="1596"/>
      <c r="K527" s="1596"/>
      <c r="L527" s="1596"/>
      <c r="M527" s="1596"/>
      <c r="N527" s="1596"/>
      <c r="O527" s="1596"/>
      <c r="P527" s="1596"/>
      <c r="Q527" s="1596"/>
      <c r="R527" s="1596"/>
      <c r="S527" s="1596"/>
      <c r="T527" s="1596"/>
      <c r="U527" s="1596"/>
      <c r="V527" s="1596"/>
      <c r="W527" s="1596"/>
      <c r="X527" s="1596"/>
      <c r="Y527" s="1596"/>
      <c r="Z527" s="1596"/>
      <c r="AA527" s="1596"/>
      <c r="AB527" s="1596"/>
      <c r="AC527" s="1596"/>
      <c r="AD527" s="1596"/>
      <c r="AE527" s="1596"/>
      <c r="AF527" s="1596"/>
      <c r="AG527" s="638"/>
      <c r="AH527" s="638"/>
      <c r="AI527" s="638"/>
      <c r="AJ527" s="638"/>
      <c r="AK527" s="626"/>
      <c r="AN527" s="243"/>
      <c r="BM527" s="1650"/>
      <c r="BN527" s="1651"/>
      <c r="BO527" s="1650"/>
      <c r="BP527" s="1651"/>
      <c r="BQ527" s="1657"/>
      <c r="BR527" s="1659"/>
      <c r="BS527" s="1657"/>
      <c r="BT527" s="1659"/>
      <c r="BU527" s="1650"/>
      <c r="BV527" s="1651"/>
      <c r="BW527" s="1650"/>
      <c r="BX527" s="1651"/>
      <c r="BY527" s="1657"/>
      <c r="BZ527" s="1659"/>
      <c r="CA527" s="1657"/>
      <c r="CB527" s="1659"/>
      <c r="CC527" s="1650">
        <f>IF(T609&gt;0,1,0)</f>
        <v>1</v>
      </c>
      <c r="CD527" s="1651"/>
      <c r="CE527" s="1650">
        <f>IF(Y609&gt;=0.1,1,0)</f>
        <v>1</v>
      </c>
      <c r="CF527" s="1651"/>
      <c r="CG527"/>
      <c r="CH527"/>
      <c r="CI527"/>
      <c r="CJ527"/>
    </row>
    <row r="528" spans="1:122" s="4" customFormat="1" ht="12.75" hidden="1" customHeight="1">
      <c r="A528" s="32"/>
      <c r="C528" s="19"/>
      <c r="E528" s="19"/>
      <c r="F528" s="218"/>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266"/>
      <c r="AE528" s="19"/>
      <c r="AF528" s="19"/>
      <c r="AG528" s="19"/>
      <c r="AH528" s="19"/>
      <c r="AN528" s="243"/>
      <c r="BM528" s="1650">
        <f>SUM(BM523:BN527)</f>
        <v>0</v>
      </c>
      <c r="BN528" s="1651"/>
      <c r="BO528" s="1650">
        <f>SUM(BO523:BP527)</f>
        <v>0</v>
      </c>
      <c r="BP528" s="1651"/>
      <c r="BQ528" s="1650">
        <f>SUM(BQ523:BR527)</f>
        <v>0</v>
      </c>
      <c r="BR528" s="1651"/>
      <c r="BS528" s="1650">
        <f>SUM(BS523:BT527)</f>
        <v>0</v>
      </c>
      <c r="BT528" s="1651"/>
      <c r="BU528" s="1650">
        <f>SUM(BU523:BV527)</f>
        <v>0</v>
      </c>
      <c r="BV528" s="1651"/>
      <c r="BW528" s="1650">
        <f>SUM(BW523:BX527)</f>
        <v>0</v>
      </c>
      <c r="BX528" s="1651"/>
      <c r="BY528" s="1650">
        <f>SUM(BY523:BZ527)</f>
        <v>0</v>
      </c>
      <c r="BZ528" s="1651"/>
      <c r="CA528" s="1650">
        <f>SUM(CA523:CB527)</f>
        <v>0</v>
      </c>
      <c r="CB528" s="1651"/>
      <c r="CC528" s="1650">
        <f>SUM(CC523:CD527)</f>
        <v>1</v>
      </c>
      <c r="CD528" s="1651"/>
      <c r="CE528" s="1650">
        <f>SUM(CE523:CF527)</f>
        <v>1</v>
      </c>
      <c r="CF528" s="1651"/>
      <c r="CG528"/>
      <c r="CH528"/>
      <c r="CI528"/>
      <c r="CJ528"/>
    </row>
    <row r="529" spans="1:89" s="4" customFormat="1" ht="12.75" hidden="1" customHeight="1">
      <c r="A529" s="32"/>
      <c r="B529" s="4" t="s">
        <v>2160</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266"/>
      <c r="AE529" s="19"/>
      <c r="AF529" s="19"/>
      <c r="AG529" s="19"/>
      <c r="AH529" s="19"/>
      <c r="AN529" s="243"/>
      <c r="AP529" s="1765" t="s">
        <v>2161</v>
      </c>
      <c r="AQ529" s="1766"/>
      <c r="AR529" s="1766"/>
      <c r="AS529" s="1766"/>
      <c r="AT529" s="1767"/>
      <c r="AU529" s="1765" t="s">
        <v>2162</v>
      </c>
      <c r="AV529" s="1766"/>
      <c r="AW529" s="1766"/>
      <c r="AX529" s="1766"/>
      <c r="AY529" s="1767"/>
      <c r="BM529" s="1657">
        <f>SUM(BM528:BP528)</f>
        <v>0</v>
      </c>
      <c r="BN529" s="1658"/>
      <c r="BO529" s="1658"/>
      <c r="BP529" s="1659"/>
      <c r="BQ529" s="1657">
        <f>SUM(BQ528:BT528)</f>
        <v>0</v>
      </c>
      <c r="BR529" s="1658"/>
      <c r="BS529" s="1658"/>
      <c r="BT529" s="1659"/>
      <c r="BU529" s="1657">
        <f>SUM(BU528:BX528)</f>
        <v>0</v>
      </c>
      <c r="BV529" s="1658"/>
      <c r="BW529" s="1658"/>
      <c r="BX529" s="1659"/>
      <c r="BY529" s="1657">
        <f>SUM(BY528:CB528)</f>
        <v>0</v>
      </c>
      <c r="BZ529" s="1658"/>
      <c r="CA529" s="1658"/>
      <c r="CB529" s="1659"/>
      <c r="CC529" s="1657">
        <f>SUM(CC528:CF528)</f>
        <v>2</v>
      </c>
      <c r="CD529" s="1658"/>
      <c r="CE529" s="1658"/>
      <c r="CF529" s="1659"/>
      <c r="CG529"/>
      <c r="CH529"/>
      <c r="CI529"/>
      <c r="CJ529"/>
    </row>
    <row r="530" spans="1:89" s="4" customFormat="1" ht="12.75" hidden="1" customHeight="1">
      <c r="A530" s="32"/>
      <c r="B530" s="4" t="s">
        <v>2163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266"/>
      <c r="AE530" s="19"/>
      <c r="AF530" s="19"/>
      <c r="AG530" s="19"/>
      <c r="AH530" s="19"/>
      <c r="AN530" s="243"/>
      <c r="AP530" s="1762">
        <f>RANK(T605,$T$605:$X$609,0)+COUNTIF($T$605:$X$609,T605)-1</f>
        <v>5</v>
      </c>
      <c r="AQ530" s="1763"/>
      <c r="AR530" s="1763"/>
      <c r="AS530" s="1763"/>
      <c r="AT530" s="1764"/>
      <c r="AU530" s="1762">
        <f>RANK(Y605,$Y$605:$AC$609,0)+COUNTIF($Y$605:$AC$609,Y605)-1</f>
        <v>5</v>
      </c>
      <c r="AV530" s="1763"/>
      <c r="AW530" s="1763"/>
      <c r="AX530" s="1763"/>
      <c r="AY530" s="1764"/>
      <c r="BM530" s="1657"/>
      <c r="BN530" s="1658"/>
      <c r="BO530" s="1658"/>
      <c r="BP530" s="1659"/>
      <c r="BQ530" s="1657">
        <f>IF(AND(BQ529=2,BM529=1),1,0)</f>
        <v>0</v>
      </c>
      <c r="BR530" s="1658"/>
      <c r="BS530" s="1658"/>
      <c r="BT530" s="1659"/>
      <c r="BU530" s="1657">
        <f>IF(AND(BU529=2,BQ529=1),1,0)</f>
        <v>0</v>
      </c>
      <c r="BV530" s="1658"/>
      <c r="BW530" s="1658"/>
      <c r="BX530" s="1659"/>
      <c r="BY530" s="1657">
        <f>IF(AND(BY529=2,BU529=1),1,0)</f>
        <v>0</v>
      </c>
      <c r="BZ530" s="1658"/>
      <c r="CA530" s="1658"/>
      <c r="CB530" s="1659"/>
      <c r="CC530" s="1657">
        <f>IF(AND(CC529=2,BU529=1),1,0)</f>
        <v>0</v>
      </c>
      <c r="CD530" s="1658"/>
      <c r="CE530" s="1658"/>
      <c r="CF530" s="1659"/>
      <c r="CG530"/>
      <c r="CH530"/>
      <c r="CI530"/>
      <c r="CJ530"/>
    </row>
    <row r="531" spans="1:89" s="4" customFormat="1" ht="12.75" hidden="1" customHeight="1">
      <c r="A531" s="32"/>
      <c r="B531" s="4" t="s">
        <v>2164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AP531" s="1762">
        <f>RANK(T606,$T$605:$X$609,0)+COUNTIF($T$605:$X$609,T606)-1</f>
        <v>5</v>
      </c>
      <c r="AQ531" s="1763"/>
      <c r="AR531" s="1763"/>
      <c r="AS531" s="1763"/>
      <c r="AT531" s="1764"/>
      <c r="AU531" s="1762">
        <f>RANK(Y606,$Y$605:$AC$609,0)+COUNTIF($Y$605:$AC$609,Y606)-1</f>
        <v>5</v>
      </c>
      <c r="AV531" s="1763"/>
      <c r="AW531" s="1763"/>
      <c r="AX531" s="1763"/>
      <c r="AY531" s="1764"/>
      <c r="BM531" s="1657"/>
      <c r="BN531" s="1658"/>
      <c r="BO531" s="1658"/>
      <c r="BP531" s="1659"/>
      <c r="BQ531" s="1657"/>
      <c r="BR531" s="1658"/>
      <c r="BS531" s="1658"/>
      <c r="BT531" s="1659"/>
      <c r="BU531" s="1657">
        <f>IF(AND(BU529=2,BM529=1),1,0)</f>
        <v>0</v>
      </c>
      <c r="BV531" s="1658"/>
      <c r="BW531" s="1658"/>
      <c r="BX531" s="1659"/>
      <c r="BY531" s="1657">
        <f>IF(AND(BY529=2,BQ529=1),1,0)</f>
        <v>0</v>
      </c>
      <c r="BZ531" s="1658"/>
      <c r="CA531" s="1658"/>
      <c r="CB531" s="1659"/>
      <c r="CC531" s="1657">
        <f>IF(AND(CC530=2,BY530=1),1,0)</f>
        <v>0</v>
      </c>
      <c r="CD531" s="1658"/>
      <c r="CE531" s="1658"/>
      <c r="CF531" s="1659"/>
      <c r="CG531"/>
      <c r="CH531"/>
      <c r="CI531"/>
      <c r="CJ531"/>
    </row>
    <row r="532" spans="1:89" s="4" customFormat="1" ht="12.75" hidden="1" customHeight="1">
      <c r="A532" s="32"/>
      <c r="B532" s="4" t="s">
        <v>2165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762">
        <f>RANK(T607,$T$605:$X$609,0)+COUNTIF($T$605:$X$609,T607)-1</f>
        <v>5</v>
      </c>
      <c r="AQ532" s="1763"/>
      <c r="AR532" s="1763"/>
      <c r="AS532" s="1763"/>
      <c r="AT532" s="1764"/>
      <c r="AU532" s="1762">
        <f>RANK(Y607,$Y$605:$AC$609,0)+COUNTIF($Y$605:$AC$609,Y607)-1</f>
        <v>5</v>
      </c>
      <c r="AV532" s="1763"/>
      <c r="AW532" s="1763"/>
      <c r="AX532" s="1763"/>
      <c r="AY532" s="1764"/>
      <c r="BM532" s="1657"/>
      <c r="BN532" s="1658"/>
      <c r="BO532" s="1658"/>
      <c r="BP532" s="1659"/>
      <c r="BQ532" s="1657"/>
      <c r="BR532" s="1658"/>
      <c r="BS532" s="1658"/>
      <c r="BT532" s="1659"/>
      <c r="BU532" s="1657"/>
      <c r="BV532" s="1658"/>
      <c r="BW532" s="1658"/>
      <c r="BX532" s="1659"/>
      <c r="BY532" s="1657">
        <f>IF(AND(BY529=2,BM529=1),1,0)</f>
        <v>0</v>
      </c>
      <c r="BZ532" s="1658"/>
      <c r="CA532" s="1658"/>
      <c r="CB532" s="1659"/>
      <c r="CC532" s="1657">
        <f>IF(AND(CC529=2,BQ529=1),1,0)</f>
        <v>0</v>
      </c>
      <c r="CD532" s="1658"/>
      <c r="CE532" s="1658"/>
      <c r="CF532" s="1659"/>
      <c r="CG532"/>
      <c r="CH532"/>
      <c r="CI532"/>
      <c r="CJ532"/>
    </row>
    <row r="533" spans="1:89" s="4" customFormat="1" ht="12.75" hidden="1" customHeight="1">
      <c r="A533" s="32"/>
      <c r="B533" s="4" t="s">
        <v>2166</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762">
        <f>RANK(T608,$T$605:$X$609,0)+COUNTIF($T$605:$X$609,T608)-1</f>
        <v>5</v>
      </c>
      <c r="AQ533" s="1763"/>
      <c r="AR533" s="1763"/>
      <c r="AS533" s="1763"/>
      <c r="AT533" s="1764"/>
      <c r="AU533" s="1762">
        <f>RANK(Y608,$Y$605:$AC$609,0)+COUNTIF($Y$605:$AC$609,Y608)-1</f>
        <v>5</v>
      </c>
      <c r="AV533" s="1763"/>
      <c r="AW533" s="1763"/>
      <c r="AX533" s="1763"/>
      <c r="AY533" s="1764"/>
      <c r="BM533" s="1657"/>
      <c r="BN533" s="1658"/>
      <c r="BO533" s="1658"/>
      <c r="BP533" s="1659"/>
      <c r="BQ533" s="1657"/>
      <c r="BR533" s="1658"/>
      <c r="BS533" s="1658"/>
      <c r="BT533" s="1659"/>
      <c r="BU533" s="1657"/>
      <c r="BV533" s="1658"/>
      <c r="BW533" s="1658"/>
      <c r="BX533" s="1659"/>
      <c r="BY533" s="1657"/>
      <c r="BZ533" s="1658"/>
      <c r="CA533" s="1658"/>
      <c r="CB533" s="1659"/>
      <c r="CC533" s="1657">
        <f>IF(AND(CC529=2,BM529=1),1,0)</f>
        <v>0</v>
      </c>
      <c r="CD533" s="1658"/>
      <c r="CE533" s="1658"/>
      <c r="CF533" s="1659"/>
      <c r="CG533"/>
      <c r="CH533"/>
      <c r="CI533"/>
      <c r="CJ533"/>
    </row>
    <row r="534" spans="1:89" s="4" customFormat="1" ht="12.75" hidden="1" customHeight="1">
      <c r="A534" s="32"/>
      <c r="B534" s="4" t="s">
        <v>2167</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762">
        <f>RANK(T609,$T$605:$X$609,0)+COUNTIF($T$605:$X$609,T609)-1</f>
        <v>1</v>
      </c>
      <c r="AQ534" s="1763"/>
      <c r="AR534" s="1763"/>
      <c r="AS534" s="1763"/>
      <c r="AT534" s="1764"/>
      <c r="AU534" s="1762">
        <f>RANK(Y609,$Y$605:$AC$609,0)+COUNTIF($Y$605:$AC$609,Y609)-1</f>
        <v>1</v>
      </c>
      <c r="AV534" s="1763"/>
      <c r="AW534" s="1763"/>
      <c r="AX534" s="1763"/>
      <c r="AY534" s="1764"/>
      <c r="BM534" s="1657">
        <f>SUM(BM530:BP533)</f>
        <v>0</v>
      </c>
      <c r="BN534" s="1658"/>
      <c r="BO534" s="1658"/>
      <c r="BP534" s="1659"/>
      <c r="BQ534" s="1657">
        <f>SUM(BQ530:BT533)</f>
        <v>0</v>
      </c>
      <c r="BR534" s="1658"/>
      <c r="BS534" s="1658"/>
      <c r="BT534" s="1659"/>
      <c r="BU534" s="1657">
        <f>SUM(BU530:BX533)</f>
        <v>0</v>
      </c>
      <c r="BV534" s="1658"/>
      <c r="BW534" s="1658"/>
      <c r="BX534" s="1659"/>
      <c r="BY534" s="1657">
        <f>SUM(BY530:CB533)</f>
        <v>0</v>
      </c>
      <c r="BZ534" s="1658"/>
      <c r="CA534" s="1658"/>
      <c r="CB534" s="1659"/>
      <c r="CC534" s="1657">
        <f>SUM(CC530:CF533)</f>
        <v>0</v>
      </c>
      <c r="CD534" s="1658"/>
      <c r="CE534" s="1658"/>
      <c r="CF534" s="1659"/>
      <c r="CG534" s="1657">
        <f>SUM(BM534:CF534)</f>
        <v>0</v>
      </c>
      <c r="CH534" s="1658"/>
      <c r="CI534" s="1658"/>
      <c r="CJ534" s="1659"/>
    </row>
    <row r="535" spans="1:89" s="4" customFormat="1" ht="12.75" hidden="1" customHeight="1">
      <c r="A535" s="32"/>
      <c r="B535" s="4" t="s">
        <v>2168</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row>
    <row r="536" spans="1:89" s="4" customFormat="1" ht="12.75" hidden="1" customHeight="1">
      <c r="A536" s="241"/>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row>
    <row r="537" spans="1:89" s="4" customFormat="1" ht="12.75" hidden="1" customHeight="1">
      <c r="A537" s="76"/>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912"/>
      <c r="AD537" s="104"/>
      <c r="AE537" s="104"/>
      <c r="AF537" s="104"/>
      <c r="AG537" s="104"/>
      <c r="AH537" s="77"/>
      <c r="AI537" s="53"/>
      <c r="AJ537" s="53" t="s">
        <v>2169</v>
      </c>
      <c r="AK537" s="1192">
        <f>SUM(AG481:AG526)</f>
        <v>0</v>
      </c>
      <c r="AL537" s="1193"/>
      <c r="AM537" s="1195"/>
      <c r="AN537" s="243"/>
      <c r="AP537" s="123" t="s">
        <v>2170</v>
      </c>
      <c r="AQ537" s="124"/>
      <c r="AR537" s="124"/>
      <c r="AS537" s="124"/>
      <c r="AT537" s="124"/>
      <c r="AU537" s="124"/>
      <c r="AV537" s="124"/>
      <c r="AW537" s="124"/>
      <c r="AX537" s="124"/>
      <c r="AY537" s="124"/>
      <c r="AZ537" s="125"/>
      <c r="CH537" s="56" t="s">
        <v>2152</v>
      </c>
      <c r="CK537" s="55"/>
    </row>
    <row r="538" spans="1:89" s="4" customFormat="1" ht="12.75" hidden="1" customHeight="1" thickBo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c r="AE538" s="120"/>
      <c r="AF538" s="120"/>
      <c r="AG538" s="120"/>
      <c r="AH538" s="120"/>
      <c r="AI538" s="120"/>
      <c r="AJ538" s="120"/>
      <c r="AK538" s="120"/>
      <c r="AL538" s="120"/>
      <c r="AM538" s="120"/>
      <c r="AN538" s="243"/>
      <c r="AP538" s="126" t="s">
        <v>2171</v>
      </c>
      <c r="AQ538" s="127"/>
      <c r="AR538" s="127"/>
      <c r="AS538" s="127"/>
      <c r="AT538" s="127"/>
      <c r="AU538" s="127"/>
      <c r="AV538" s="127"/>
      <c r="AW538" s="127"/>
      <c r="AX538" s="127"/>
      <c r="AY538" s="1650">
        <f>SUM(O605:S609)</f>
        <v>43</v>
      </c>
      <c r="AZ538" s="1651"/>
      <c r="CG538"/>
      <c r="CH538" s="1689" t="s">
        <v>2172</v>
      </c>
      <c r="CI538" s="1437"/>
      <c r="CJ538" s="1437"/>
      <c r="CK538" s="1438"/>
    </row>
    <row r="539" spans="1:89" s="4" customFormat="1" ht="12.75" customHeight="1" thickTop="1">
      <c r="B539" s="164"/>
      <c r="C539" s="165"/>
      <c r="D539" s="165"/>
      <c r="E539" s="165"/>
      <c r="F539" s="165"/>
      <c r="G539" s="165"/>
      <c r="H539" s="165"/>
      <c r="I539" s="83"/>
      <c r="J539" s="83"/>
      <c r="K539" s="83"/>
      <c r="L539" s="83"/>
      <c r="M539" s="83"/>
      <c r="N539" s="83"/>
      <c r="O539" s="83"/>
      <c r="P539" s="83"/>
      <c r="Q539" s="83"/>
      <c r="R539" s="21"/>
      <c r="S539" s="3"/>
      <c r="T539" s="3"/>
      <c r="U539" s="3"/>
      <c r="V539" s="3"/>
      <c r="W539" s="3"/>
      <c r="X539" s="3"/>
      <c r="Y539" s="3"/>
      <c r="Z539" s="3"/>
      <c r="AA539" s="3"/>
      <c r="AB539" s="3"/>
      <c r="AC539" s="3"/>
      <c r="AD539" s="3"/>
      <c r="AE539" s="3"/>
      <c r="AF539" s="21"/>
      <c r="AG539" s="3"/>
      <c r="AH539" s="3"/>
      <c r="AI539" s="3"/>
      <c r="AJ539" s="3"/>
      <c r="AM539" s="21"/>
      <c r="AN539" s="243"/>
      <c r="AP539" s="128" t="s">
        <v>2173</v>
      </c>
      <c r="AQ539" s="129"/>
      <c r="AR539" s="129"/>
      <c r="AS539" s="1650" t="str">
        <f>IF(AY538=BK565,"passed","failed")</f>
        <v>passed</v>
      </c>
      <c r="AT539" s="1652"/>
      <c r="AU539" s="1651"/>
      <c r="AV539" s="129"/>
      <c r="AW539" s="129"/>
      <c r="AX539" s="129"/>
      <c r="AY539" s="129"/>
      <c r="AZ539" s="130"/>
      <c r="CG539"/>
      <c r="CH539" s="1439"/>
      <c r="CI539" s="1440"/>
      <c r="CJ539" s="1440"/>
      <c r="CK539" s="1441"/>
    </row>
    <row r="540" spans="1:89" s="4" customFormat="1" ht="12.75" customHeight="1">
      <c r="A540" s="3" t="s">
        <v>2174</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591" t="s">
        <v>2175</v>
      </c>
      <c r="AF540" s="1591"/>
      <c r="AG540" s="1591"/>
      <c r="AH540" s="1591"/>
      <c r="AI540" s="1591"/>
      <c r="AJ540" s="1591"/>
      <c r="AK540" s="1591"/>
      <c r="AL540" s="18"/>
      <c r="AM540" s="21"/>
      <c r="AN540" s="243"/>
      <c r="BE540"/>
      <c r="BF540"/>
      <c r="BG540"/>
      <c r="BH540"/>
      <c r="BI540"/>
      <c r="BJ540"/>
      <c r="BK540"/>
      <c r="BL540"/>
      <c r="BM540"/>
      <c r="BN540"/>
      <c r="BO540"/>
      <c r="BP540"/>
      <c r="BQ540"/>
      <c r="BR540" s="55" t="s">
        <v>2152</v>
      </c>
      <c r="BS540"/>
      <c r="BT540"/>
      <c r="BU540"/>
      <c r="BV540"/>
      <c r="BW540"/>
      <c r="BX540"/>
      <c r="BY540"/>
      <c r="BZ540"/>
      <c r="CA540"/>
      <c r="CB540"/>
      <c r="CC540"/>
      <c r="CG540"/>
      <c r="CH540" s="1439"/>
      <c r="CI540" s="1440"/>
      <c r="CJ540" s="1440"/>
      <c r="CK540" s="1441"/>
    </row>
    <row r="541" spans="1:89" s="4" customFormat="1" ht="12.75" customHeight="1">
      <c r="B541" s="107" t="s">
        <v>2176</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593" t="s">
        <v>2177</v>
      </c>
      <c r="AH541" s="1593"/>
      <c r="AI541" s="1593"/>
      <c r="AJ541" s="1593"/>
      <c r="AK541" s="18"/>
      <c r="AL541" s="18"/>
      <c r="AM541" s="21"/>
      <c r="AN541" s="243"/>
      <c r="BE541" s="1657" t="s">
        <v>2178</v>
      </c>
      <c r="BF541" s="1658"/>
      <c r="BG541" s="1658"/>
      <c r="BH541" s="1659"/>
      <c r="BI541" s="1657" t="s">
        <v>2179</v>
      </c>
      <c r="BJ541" s="1658"/>
      <c r="BK541" s="1658"/>
      <c r="BL541" s="1659"/>
      <c r="BM541" s="1657" t="s">
        <v>2180</v>
      </c>
      <c r="BN541" s="1658"/>
      <c r="BO541" s="1658"/>
      <c r="BP541" s="1659"/>
      <c r="BQ541" s="1657" t="s">
        <v>2181</v>
      </c>
      <c r="BR541" s="1658"/>
      <c r="BS541" s="1658"/>
      <c r="BT541" s="1659"/>
      <c r="BU541" s="1657" t="s">
        <v>2182</v>
      </c>
      <c r="BV541" s="1658"/>
      <c r="BW541" s="1658"/>
      <c r="BX541" s="1659"/>
      <c r="BY541" s="1657" t="s">
        <v>2183</v>
      </c>
      <c r="BZ541" s="1658"/>
      <c r="CA541" s="1658"/>
      <c r="CB541" s="1659"/>
      <c r="CC541"/>
      <c r="CG541"/>
      <c r="CH541" s="1439"/>
      <c r="CI541" s="1440"/>
      <c r="CJ541" s="1440"/>
      <c r="CK541" s="1441"/>
    </row>
    <row r="542" spans="1:89" s="4" customFormat="1" ht="12.75" customHeight="1">
      <c r="A542" s="3"/>
      <c r="B542" s="1773" t="s">
        <v>2184</v>
      </c>
      <c r="C542" s="1773"/>
      <c r="D542" s="1773"/>
      <c r="E542" s="1773"/>
      <c r="F542" s="1773"/>
      <c r="G542" s="1773"/>
      <c r="H542" s="1773"/>
      <c r="I542" s="1773"/>
      <c r="J542" s="1773"/>
      <c r="K542" s="1773"/>
      <c r="L542" s="1773"/>
      <c r="M542" s="1773"/>
      <c r="N542" s="1773"/>
      <c r="O542" s="1773"/>
      <c r="P542" s="1773"/>
      <c r="Q542" s="1773"/>
      <c r="R542" s="1773"/>
      <c r="S542" s="1773"/>
      <c r="T542" s="1773"/>
      <c r="U542" s="1773"/>
      <c r="V542" s="1773"/>
      <c r="W542" s="1773"/>
      <c r="X542" s="1773"/>
      <c r="Y542" s="1773"/>
      <c r="Z542" s="1773"/>
      <c r="AA542" s="1773"/>
      <c r="AB542" s="1773"/>
      <c r="AC542" s="1773"/>
      <c r="AD542" s="1773"/>
      <c r="AE542" s="1773"/>
      <c r="AF542" s="1773"/>
      <c r="AG542" s="1773"/>
      <c r="AK542" s="21"/>
      <c r="AL542" s="21"/>
      <c r="AN542" s="243"/>
      <c r="AP542" s="366" t="s">
        <v>2185</v>
      </c>
      <c r="AQ542" s="367"/>
      <c r="AR542" s="367"/>
      <c r="AS542" s="367"/>
      <c r="AT542" s="367"/>
      <c r="AU542" s="367"/>
      <c r="AV542" s="368"/>
      <c r="AW542" s="367"/>
      <c r="AX542" s="367"/>
      <c r="AY542" s="368"/>
      <c r="BE542" s="1650">
        <f>IF(CH543=1,0,1)</f>
        <v>0</v>
      </c>
      <c r="BF542" s="1652"/>
      <c r="BG542" s="1652"/>
      <c r="BH542" s="1651"/>
      <c r="BI542" s="1650"/>
      <c r="BJ542" s="1652"/>
      <c r="BK542" s="1652"/>
      <c r="BL542" s="1651"/>
      <c r="BM542" s="1650"/>
      <c r="BN542" s="1652"/>
      <c r="BO542" s="1652"/>
      <c r="BP542" s="1651"/>
      <c r="BQ542" s="1650"/>
      <c r="BR542" s="1652"/>
      <c r="BS542" s="1652"/>
      <c r="BT542" s="1651"/>
      <c r="BU542" s="1657"/>
      <c r="BV542" s="1658"/>
      <c r="BW542" s="1658"/>
      <c r="BX542" s="1659"/>
      <c r="BY542" s="1657"/>
      <c r="BZ542" s="1658"/>
      <c r="CA542" s="1658"/>
      <c r="CB542" s="1659"/>
      <c r="CC542"/>
      <c r="CG542"/>
      <c r="CH542" s="1445"/>
      <c r="CI542" s="1446"/>
      <c r="CJ542" s="1446"/>
      <c r="CK542" s="1447"/>
    </row>
    <row r="543" spans="1:89" s="4" customFormat="1" ht="12.75" customHeight="1">
      <c r="A543" s="20"/>
      <c r="B543" s="1773"/>
      <c r="C543" s="1773"/>
      <c r="D543" s="1773"/>
      <c r="E543" s="1773"/>
      <c r="F543" s="1773"/>
      <c r="G543" s="1773"/>
      <c r="H543" s="1773"/>
      <c r="I543" s="1773"/>
      <c r="J543" s="1773"/>
      <c r="K543" s="1773"/>
      <c r="L543" s="1773"/>
      <c r="M543" s="1773"/>
      <c r="N543" s="1773"/>
      <c r="O543" s="1773"/>
      <c r="P543" s="1773"/>
      <c r="Q543" s="1773"/>
      <c r="R543" s="1773"/>
      <c r="S543" s="1773"/>
      <c r="T543" s="1773"/>
      <c r="U543" s="1773"/>
      <c r="V543" s="1773"/>
      <c r="W543" s="1773"/>
      <c r="X543" s="1773"/>
      <c r="Y543" s="1773"/>
      <c r="Z543" s="1773"/>
      <c r="AA543" s="1773"/>
      <c r="AB543" s="1773"/>
      <c r="AC543" s="1773"/>
      <c r="AD543" s="1773"/>
      <c r="AE543" s="1773"/>
      <c r="AF543" s="1773"/>
      <c r="AG543" s="1773"/>
      <c r="AK543" s="141"/>
      <c r="AL543" s="141"/>
      <c r="AM543" s="141"/>
      <c r="AN543" s="243"/>
      <c r="AP543" s="369" t="s">
        <v>2186</v>
      </c>
      <c r="AQ543" s="370"/>
      <c r="AR543" s="370"/>
      <c r="AS543" s="370"/>
      <c r="AT543" s="370"/>
      <c r="AU543" s="1679">
        <f>ROUNDUP(BK565*0.1,0)</f>
        <v>5</v>
      </c>
      <c r="AV543" s="1681"/>
      <c r="AW543" s="370"/>
      <c r="AX543" s="370">
        <f>AU543-AP545</f>
        <v>-17</v>
      </c>
      <c r="AY543" s="371"/>
      <c r="BE543" s="1650"/>
      <c r="BF543" s="1652"/>
      <c r="BG543" s="1652"/>
      <c r="BH543" s="1651"/>
      <c r="BI543" s="1650">
        <f>IF(AND(CH544=1,BE542=0),0,1)</f>
        <v>0</v>
      </c>
      <c r="BJ543" s="1652"/>
      <c r="BK543" s="1652"/>
      <c r="BL543" s="1651"/>
      <c r="BM543" s="1650"/>
      <c r="BN543" s="1652"/>
      <c r="BO543" s="1652"/>
      <c r="BP543" s="1651"/>
      <c r="BQ543" s="1650"/>
      <c r="BR543" s="1652"/>
      <c r="BS543" s="1652"/>
      <c r="BT543" s="1651"/>
      <c r="BU543" s="1657"/>
      <c r="BV543" s="1658"/>
      <c r="BW543" s="1658"/>
      <c r="BX543" s="1659"/>
      <c r="BY543" s="1657"/>
      <c r="BZ543" s="1658"/>
      <c r="CA543" s="1658"/>
      <c r="CB543" s="1659"/>
      <c r="CC543"/>
      <c r="CG543"/>
      <c r="CH543" s="1657">
        <f>IF(OR(Y605=0,Y605&gt;=0.1),1,0)</f>
        <v>1</v>
      </c>
      <c r="CI543" s="1658"/>
      <c r="CJ543" s="1658"/>
      <c r="CK543" s="1659"/>
    </row>
    <row r="544" spans="1:89" s="4" customFormat="1" ht="12.75" customHeight="1">
      <c r="B544" s="1773"/>
      <c r="C544" s="1773"/>
      <c r="D544" s="1773"/>
      <c r="E544" s="1773"/>
      <c r="F544" s="1773"/>
      <c r="G544" s="1773"/>
      <c r="H544" s="1773"/>
      <c r="I544" s="1773"/>
      <c r="J544" s="1773"/>
      <c r="K544" s="1773"/>
      <c r="L544" s="1773"/>
      <c r="M544" s="1773"/>
      <c r="N544" s="1773"/>
      <c r="O544" s="1773"/>
      <c r="P544" s="1773"/>
      <c r="Q544" s="1773"/>
      <c r="R544" s="1773"/>
      <c r="S544" s="1773"/>
      <c r="T544" s="1773"/>
      <c r="U544" s="1773"/>
      <c r="V544" s="1773"/>
      <c r="W544" s="1773"/>
      <c r="X544" s="1773"/>
      <c r="Y544" s="1773"/>
      <c r="Z544" s="1773"/>
      <c r="AA544" s="1773"/>
      <c r="AB544" s="1773"/>
      <c r="AC544" s="1773"/>
      <c r="AD544" s="1773"/>
      <c r="AE544" s="1773"/>
      <c r="AF544" s="1773"/>
      <c r="AG544" s="1773"/>
      <c r="AH544" s="140"/>
      <c r="AI544" s="140"/>
      <c r="AJ544" s="140"/>
      <c r="AK544" s="141"/>
      <c r="AL544" s="141"/>
      <c r="AM544" s="141"/>
      <c r="AN544" s="243"/>
      <c r="AP544" s="369"/>
      <c r="AQ544" s="370"/>
      <c r="AR544" s="370"/>
      <c r="AS544" s="370"/>
      <c r="AT544" s="370"/>
      <c r="AU544" s="370"/>
      <c r="AV544" s="371"/>
      <c r="AW544" s="370"/>
      <c r="AX544" s="370"/>
      <c r="AY544" s="371"/>
      <c r="BE544" s="1650"/>
      <c r="BF544" s="1652"/>
      <c r="BG544" s="1652"/>
      <c r="BH544" s="1651"/>
      <c r="BI544" s="1650"/>
      <c r="BJ544" s="1652"/>
      <c r="BK544" s="1652"/>
      <c r="BL544" s="1651"/>
      <c r="BM544" s="1650">
        <f>IF(AND(AND(CH545=1,BI543=0,BE542=0)),0,1)</f>
        <v>0</v>
      </c>
      <c r="BN544" s="1652"/>
      <c r="BO544" s="1652"/>
      <c r="BP544" s="1651"/>
      <c r="BQ544" s="1650"/>
      <c r="BR544" s="1652"/>
      <c r="BS544" s="1652"/>
      <c r="BT544" s="1651"/>
      <c r="BU544" s="1657"/>
      <c r="BV544" s="1658"/>
      <c r="BW544" s="1658"/>
      <c r="BX544" s="1659"/>
      <c r="BY544" s="1657"/>
      <c r="BZ544" s="1658"/>
      <c r="CA544" s="1658"/>
      <c r="CB544" s="1659"/>
      <c r="CC544"/>
      <c r="CG544"/>
      <c r="CH544" s="1657">
        <f>IF(OR(Y606=0,Y606&gt;=0.1),1,0)</f>
        <v>1</v>
      </c>
      <c r="CI544" s="1658"/>
      <c r="CJ544" s="1658"/>
      <c r="CK544" s="1659"/>
    </row>
    <row r="545" spans="2:89" s="4" customFormat="1" ht="12.75" customHeight="1">
      <c r="B545" s="1773"/>
      <c r="C545" s="1773"/>
      <c r="D545" s="1773"/>
      <c r="E545" s="1773"/>
      <c r="F545" s="1773"/>
      <c r="G545" s="1773"/>
      <c r="H545" s="1773"/>
      <c r="I545" s="1773"/>
      <c r="J545" s="1773"/>
      <c r="K545" s="1773"/>
      <c r="L545" s="1773"/>
      <c r="M545" s="1773"/>
      <c r="N545" s="1773"/>
      <c r="O545" s="1773"/>
      <c r="P545" s="1773"/>
      <c r="Q545" s="1773"/>
      <c r="R545" s="1773"/>
      <c r="S545" s="1773"/>
      <c r="T545" s="1773"/>
      <c r="U545" s="1773"/>
      <c r="V545" s="1773"/>
      <c r="W545" s="1773"/>
      <c r="X545" s="1773"/>
      <c r="Y545" s="1773"/>
      <c r="Z545" s="1773"/>
      <c r="AA545" s="1773"/>
      <c r="AB545" s="1773"/>
      <c r="AC545" s="1773"/>
      <c r="AD545" s="1773"/>
      <c r="AE545" s="1773"/>
      <c r="AF545" s="1773"/>
      <c r="AG545" s="1773"/>
      <c r="AH545" s="140"/>
      <c r="AI545" s="140"/>
      <c r="AJ545" s="140"/>
      <c r="AK545" s="141"/>
      <c r="AL545" s="141"/>
      <c r="AM545" s="141"/>
      <c r="AN545" s="243"/>
      <c r="AP545" s="1745">
        <f>SUM(T605:X609)</f>
        <v>22</v>
      </c>
      <c r="AQ545" s="1746"/>
      <c r="AR545" s="1746"/>
      <c r="AS545" s="1746"/>
      <c r="AT545" s="1747"/>
      <c r="AU545" s="370"/>
      <c r="AV545" s="371"/>
      <c r="AW545" s="370"/>
      <c r="AX545" s="370"/>
      <c r="AY545" s="371"/>
      <c r="BE545" s="1650"/>
      <c r="BF545" s="1652"/>
      <c r="BG545" s="1652"/>
      <c r="BH545" s="1651"/>
      <c r="BI545" s="1650"/>
      <c r="BJ545" s="1652"/>
      <c r="BK545" s="1652"/>
      <c r="BL545" s="1651"/>
      <c r="BM545" s="1650"/>
      <c r="BN545" s="1652"/>
      <c r="BO545" s="1652"/>
      <c r="BP545" s="1651"/>
      <c r="BQ545" s="1650">
        <f>IF(AND(AND(AND(CH546=1,BM544=0,BI543=0,BE542=0))),0,1)</f>
        <v>0</v>
      </c>
      <c r="BR545" s="1652"/>
      <c r="BS545" s="1652"/>
      <c r="BT545" s="1651"/>
      <c r="BU545" s="1657"/>
      <c r="BV545" s="1658"/>
      <c r="BW545" s="1658"/>
      <c r="BX545" s="1659"/>
      <c r="BY545" s="1657"/>
      <c r="BZ545" s="1658"/>
      <c r="CA545" s="1658"/>
      <c r="CB545" s="1659"/>
      <c r="CC545"/>
      <c r="CG545"/>
      <c r="CH545" s="1657">
        <f>IF(OR(Y607=0,Y607&gt;=0.1),1,0)</f>
        <v>1</v>
      </c>
      <c r="CI545" s="1658"/>
      <c r="CJ545" s="1658"/>
      <c r="CK545" s="1659"/>
    </row>
    <row r="546" spans="2:89" s="4" customFormat="1" ht="12.75" customHeight="1">
      <c r="B546" s="1773"/>
      <c r="C546" s="1773"/>
      <c r="D546" s="1773"/>
      <c r="E546" s="1773"/>
      <c r="F546" s="1773"/>
      <c r="G546" s="1773"/>
      <c r="H546" s="1773"/>
      <c r="I546" s="1773"/>
      <c r="J546" s="1773"/>
      <c r="K546" s="1773"/>
      <c r="L546" s="1773"/>
      <c r="M546" s="1773"/>
      <c r="N546" s="1773"/>
      <c r="O546" s="1773"/>
      <c r="P546" s="1773"/>
      <c r="Q546" s="1773"/>
      <c r="R546" s="1773"/>
      <c r="S546" s="1773"/>
      <c r="T546" s="1773"/>
      <c r="U546" s="1773"/>
      <c r="V546" s="1773"/>
      <c r="W546" s="1773"/>
      <c r="X546" s="1773"/>
      <c r="Y546" s="1773"/>
      <c r="Z546" s="1773"/>
      <c r="AA546" s="1773"/>
      <c r="AB546" s="1773"/>
      <c r="AC546" s="1773"/>
      <c r="AD546" s="1773"/>
      <c r="AE546" s="1773"/>
      <c r="AF546" s="1773"/>
      <c r="AG546" s="1773"/>
      <c r="AH546" s="140"/>
      <c r="AI546" s="140"/>
      <c r="AJ546" s="140"/>
      <c r="AK546" s="141"/>
      <c r="AL546" s="141"/>
      <c r="AM546" s="141"/>
      <c r="AN546" s="243"/>
      <c r="AP546" s="372"/>
      <c r="AQ546" s="373"/>
      <c r="AR546" s="373"/>
      <c r="AS546" s="373"/>
      <c r="AT546" s="374" t="s">
        <v>2173</v>
      </c>
      <c r="AU546" s="1679" t="str">
        <f>IF(AP545&gt;=AU543,"passed","failed")</f>
        <v>passed</v>
      </c>
      <c r="AV546" s="1680"/>
      <c r="AW546" s="1681"/>
      <c r="AX546" s="375"/>
      <c r="AY546" s="376"/>
      <c r="BE546" s="1650"/>
      <c r="BF546" s="1652"/>
      <c r="BG546" s="1652"/>
      <c r="BH546" s="1651"/>
      <c r="BI546" s="1650"/>
      <c r="BJ546" s="1652"/>
      <c r="BK546" s="1652"/>
      <c r="BL546" s="1651"/>
      <c r="BM546" s="1650"/>
      <c r="BN546" s="1652"/>
      <c r="BO546" s="1652"/>
      <c r="BP546" s="1651"/>
      <c r="BQ546" s="1650"/>
      <c r="BR546" s="1652"/>
      <c r="BS546" s="1652"/>
      <c r="BT546" s="1651"/>
      <c r="BU546" s="1650">
        <f>IF(AND(AND(AND(AND(CH547=1,BQ545=0,BM544=0,BI543=0,BE542=0)))),0,1)</f>
        <v>0</v>
      </c>
      <c r="BV546" s="1652"/>
      <c r="BW546" s="1652"/>
      <c r="BX546" s="1651"/>
      <c r="BY546" s="1657"/>
      <c r="BZ546" s="1658"/>
      <c r="CA546" s="1658"/>
      <c r="CB546" s="1659"/>
      <c r="CC546"/>
      <c r="CD546"/>
      <c r="CE546"/>
      <c r="CF546"/>
      <c r="CG546"/>
      <c r="CH546" s="1657">
        <f>IF(OR(Y608=0,Y608&gt;=0.1),1,0)</f>
        <v>1</v>
      </c>
      <c r="CI546" s="1658"/>
      <c r="CJ546" s="1658"/>
      <c r="CK546" s="1659"/>
    </row>
    <row r="547" spans="2:89" s="4" customFormat="1" ht="14.1" customHeight="1">
      <c r="B547" s="1773"/>
      <c r="C547" s="1773"/>
      <c r="D547" s="1773"/>
      <c r="E547" s="1773"/>
      <c r="F547" s="1773"/>
      <c r="G547" s="1773"/>
      <c r="H547" s="1773"/>
      <c r="I547" s="1773"/>
      <c r="J547" s="1773"/>
      <c r="K547" s="1773"/>
      <c r="L547" s="1773"/>
      <c r="M547" s="1773"/>
      <c r="N547" s="1773"/>
      <c r="O547" s="1773"/>
      <c r="P547" s="1773"/>
      <c r="Q547" s="1773"/>
      <c r="R547" s="1773"/>
      <c r="S547" s="1773"/>
      <c r="T547" s="1773"/>
      <c r="U547" s="1773"/>
      <c r="V547" s="1773"/>
      <c r="W547" s="1773"/>
      <c r="X547" s="1773"/>
      <c r="Y547" s="1773"/>
      <c r="Z547" s="1773"/>
      <c r="AA547" s="1773"/>
      <c r="AB547" s="1773"/>
      <c r="AC547" s="1773"/>
      <c r="AD547" s="1773"/>
      <c r="AE547" s="1773"/>
      <c r="AF547" s="1773"/>
      <c r="AG547" s="1773"/>
      <c r="AH547" s="140"/>
      <c r="AI547" s="140"/>
      <c r="AJ547" s="140"/>
      <c r="AK547" s="141"/>
      <c r="AL547" s="141"/>
      <c r="AM547" s="141"/>
      <c r="AN547" s="243"/>
      <c r="BE547" s="1650">
        <f>SUM(BE542:BH546)</f>
        <v>0</v>
      </c>
      <c r="BF547" s="1652"/>
      <c r="BG547" s="1652"/>
      <c r="BH547" s="1651"/>
      <c r="BI547" s="1650">
        <f>SUM(BI542:BL546)</f>
        <v>0</v>
      </c>
      <c r="BJ547" s="1652"/>
      <c r="BK547" s="1652"/>
      <c r="BL547" s="1651"/>
      <c r="BM547" s="1650">
        <f>SUM(BM542:BP546)</f>
        <v>0</v>
      </c>
      <c r="BN547" s="1652"/>
      <c r="BO547" s="1652"/>
      <c r="BP547" s="1651"/>
      <c r="BQ547" s="1650">
        <f>SUM(BQ542:BT546)</f>
        <v>0</v>
      </c>
      <c r="BR547" s="1652"/>
      <c r="BS547" s="1652"/>
      <c r="BT547" s="1651"/>
      <c r="BU547" s="1650">
        <f>SUM(BU542:BX546)</f>
        <v>0</v>
      </c>
      <c r="BV547" s="1652"/>
      <c r="BW547" s="1652"/>
      <c r="BX547" s="1651"/>
      <c r="BY547" s="1650">
        <f>SUM(BY542:CB546)</f>
        <v>0</v>
      </c>
      <c r="BZ547" s="1652"/>
      <c r="CA547" s="1652"/>
      <c r="CB547" s="1651"/>
      <c r="CC547" s="1657">
        <f>IF(AND(CH543=1,T605&gt;0),0,SUM(BE547:CB547))</f>
        <v>0</v>
      </c>
      <c r="CD547" s="1658"/>
      <c r="CE547" s="1658"/>
      <c r="CF547" s="1659"/>
      <c r="CG547"/>
      <c r="CH547" s="1657">
        <f>IF(OR(Y609=0,Y609&gt;=0.1),1,0)</f>
        <v>1</v>
      </c>
      <c r="CI547" s="1658"/>
      <c r="CJ547" s="1658"/>
      <c r="CK547" s="1659"/>
    </row>
    <row r="548" spans="2:89" s="4" customFormat="1" ht="12.6" customHeight="1">
      <c r="B548" s="1660" t="s">
        <v>2187</v>
      </c>
      <c r="C548" s="1660"/>
      <c r="D548" s="1660"/>
      <c r="E548" s="1660"/>
      <c r="F548" s="1660"/>
      <c r="G548" s="1660"/>
      <c r="H548" s="1660"/>
      <c r="I548" s="1660"/>
      <c r="J548" s="1660"/>
      <c r="K548" s="1660"/>
      <c r="L548" s="1660"/>
      <c r="M548" s="1660"/>
      <c r="N548" s="1660"/>
      <c r="O548" s="1660"/>
      <c r="P548" s="1660"/>
      <c r="Q548" s="1660"/>
      <c r="R548" s="1660"/>
      <c r="S548" s="1660"/>
      <c r="T548" s="1660"/>
      <c r="U548" s="1660"/>
      <c r="V548" s="1660"/>
      <c r="W548" s="1660"/>
      <c r="X548" s="1660"/>
      <c r="Y548" s="1660"/>
      <c r="Z548" s="1660"/>
      <c r="AA548" s="1660"/>
      <c r="AB548" s="1660"/>
      <c r="AC548" s="1660"/>
      <c r="AD548" s="1660"/>
      <c r="AE548" s="1660"/>
      <c r="AF548" s="1660"/>
      <c r="AG548" s="1660"/>
      <c r="AH548" s="140"/>
      <c r="AI548" s="140"/>
      <c r="AJ548" s="140"/>
      <c r="AK548" s="141"/>
      <c r="AL548" s="141"/>
      <c r="AM548" s="141"/>
      <c r="AN548" s="243"/>
    </row>
    <row r="549" spans="2:89" s="4" customFormat="1" ht="21" customHeight="1">
      <c r="B549" s="1660"/>
      <c r="C549" s="1660"/>
      <c r="D549" s="1660"/>
      <c r="E549" s="1660"/>
      <c r="F549" s="1660"/>
      <c r="G549" s="1660"/>
      <c r="H549" s="1660"/>
      <c r="I549" s="1660"/>
      <c r="J549" s="1660"/>
      <c r="K549" s="1660"/>
      <c r="L549" s="1660"/>
      <c r="M549" s="1660"/>
      <c r="N549" s="1660"/>
      <c r="O549" s="1660"/>
      <c r="P549" s="1660"/>
      <c r="Q549" s="1660"/>
      <c r="R549" s="1660"/>
      <c r="S549" s="1660"/>
      <c r="T549" s="1660"/>
      <c r="U549" s="1660"/>
      <c r="V549" s="1660"/>
      <c r="W549" s="1660"/>
      <c r="X549" s="1660"/>
      <c r="Y549" s="1660"/>
      <c r="Z549" s="1660"/>
      <c r="AA549" s="1660"/>
      <c r="AB549" s="1660"/>
      <c r="AC549" s="1660"/>
      <c r="AD549" s="1660"/>
      <c r="AE549" s="1660"/>
      <c r="AF549" s="1660"/>
      <c r="AG549" s="1660"/>
      <c r="AH549" s="140"/>
      <c r="AI549" s="140"/>
      <c r="AJ549" s="140"/>
      <c r="AK549" s="141"/>
      <c r="AL549" s="141"/>
      <c r="AM549" s="141"/>
      <c r="AN549" s="243"/>
      <c r="AP549" s="123" t="s">
        <v>2188</v>
      </c>
      <c r="AQ549" s="124"/>
      <c r="AR549" s="124"/>
      <c r="AS549" s="124"/>
      <c r="AT549" s="124"/>
      <c r="AU549" s="124"/>
      <c r="AV549" s="124"/>
      <c r="AW549" s="124"/>
      <c r="AX549" s="124"/>
      <c r="AY549" s="125"/>
    </row>
    <row r="550" spans="2:89" s="4" customFormat="1" ht="12.75" customHeight="1">
      <c r="B550" s="1660" t="s">
        <v>2189</v>
      </c>
      <c r="C550" s="1660"/>
      <c r="D550" s="1660"/>
      <c r="E550" s="1660"/>
      <c r="F550" s="1660"/>
      <c r="G550" s="1660"/>
      <c r="H550" s="1660"/>
      <c r="I550" s="1660"/>
      <c r="J550" s="1660"/>
      <c r="K550" s="1660"/>
      <c r="L550" s="1660"/>
      <c r="M550" s="1660"/>
      <c r="N550" s="1660"/>
      <c r="O550" s="1660"/>
      <c r="P550" s="1660"/>
      <c r="Q550" s="1660"/>
      <c r="R550" s="1660"/>
      <c r="S550" s="1660"/>
      <c r="T550" s="1660"/>
      <c r="U550" s="1660"/>
      <c r="V550" s="1660"/>
      <c r="W550" s="1660"/>
      <c r="X550" s="1660"/>
      <c r="Y550" s="1660"/>
      <c r="Z550" s="1660"/>
      <c r="AA550" s="1660"/>
      <c r="AB550" s="1660"/>
      <c r="AC550" s="1660"/>
      <c r="AD550" s="1660"/>
      <c r="AE550" s="1660"/>
      <c r="AF550" s="1660"/>
      <c r="AG550" s="593"/>
      <c r="AH550" s="140"/>
      <c r="AI550" s="140"/>
      <c r="AJ550" s="140"/>
      <c r="AK550" s="141"/>
      <c r="AL550" s="141"/>
      <c r="AM550" s="141"/>
      <c r="AN550" s="243"/>
      <c r="AP550" s="126" t="s">
        <v>2190</v>
      </c>
      <c r="AQ550" s="127"/>
      <c r="AR550" s="127"/>
      <c r="AS550" s="127"/>
      <c r="AT550" s="127"/>
      <c r="AU550" s="127"/>
      <c r="AV550" s="127"/>
      <c r="AW550" s="127"/>
      <c r="AX550" s="134"/>
      <c r="AY550" s="134"/>
    </row>
    <row r="551" spans="2:89" s="4" customFormat="1" ht="12.75" customHeight="1">
      <c r="B551" s="1660"/>
      <c r="C551" s="1660"/>
      <c r="D551" s="1660"/>
      <c r="E551" s="1660"/>
      <c r="F551" s="1660"/>
      <c r="G551" s="1660"/>
      <c r="H551" s="1660"/>
      <c r="I551" s="1660"/>
      <c r="J551" s="1660"/>
      <c r="K551" s="1660"/>
      <c r="L551" s="1660"/>
      <c r="M551" s="1660"/>
      <c r="N551" s="1660"/>
      <c r="O551" s="1660"/>
      <c r="P551" s="1660"/>
      <c r="Q551" s="1660"/>
      <c r="R551" s="1660"/>
      <c r="S551" s="1660"/>
      <c r="T551" s="1660"/>
      <c r="U551" s="1660"/>
      <c r="V551" s="1660"/>
      <c r="W551" s="1660"/>
      <c r="X551" s="1660"/>
      <c r="Y551" s="1660"/>
      <c r="Z551" s="1660"/>
      <c r="AA551" s="1660"/>
      <c r="AB551" s="1660"/>
      <c r="AC551" s="1660"/>
      <c r="AD551" s="1660"/>
      <c r="AE551" s="1660"/>
      <c r="AF551" s="1660"/>
      <c r="AG551" s="140"/>
      <c r="AH551" s="140"/>
      <c r="AI551" s="140"/>
      <c r="AJ551" s="140"/>
      <c r="AK551" s="141"/>
      <c r="AL551" s="141"/>
      <c r="AM551" s="141"/>
      <c r="AN551" s="243"/>
      <c r="AP551" s="128"/>
      <c r="AQ551" s="129"/>
      <c r="AR551" s="129"/>
      <c r="AS551" s="129"/>
      <c r="AT551" s="135" t="s">
        <v>2173</v>
      </c>
      <c r="AU551" s="129"/>
      <c r="AV551" s="1650" t="str">
        <f>IF(BJ587&gt;0,"failed","passed")</f>
        <v>passed</v>
      </c>
      <c r="AW551" s="1652"/>
      <c r="AX551" s="1652"/>
      <c r="AY551" s="1651"/>
    </row>
    <row r="552" spans="2:89" s="4" customFormat="1" ht="12.6" customHeight="1">
      <c r="B552" s="594" t="s">
        <v>2191</v>
      </c>
      <c r="C552" s="595"/>
      <c r="D552" s="595"/>
      <c r="E552" s="595"/>
      <c r="F552" s="595"/>
      <c r="G552" s="595"/>
      <c r="H552" s="595"/>
      <c r="I552" s="595"/>
      <c r="J552" s="595"/>
      <c r="K552" s="595"/>
      <c r="L552" s="595"/>
      <c r="M552" s="595"/>
      <c r="N552" s="595"/>
      <c r="O552" s="190"/>
      <c r="P552" s="190"/>
      <c r="Q552" s="190"/>
      <c r="R552" s="190"/>
      <c r="S552" s="190"/>
      <c r="T552" s="190"/>
      <c r="U552" s="190"/>
      <c r="V552" s="190"/>
      <c r="W552" s="190"/>
      <c r="X552" s="190"/>
      <c r="Y552" s="190"/>
      <c r="Z552" s="190"/>
      <c r="AA552" s="190"/>
      <c r="AB552" s="190"/>
      <c r="AC552" s="190"/>
      <c r="AD552" s="190"/>
      <c r="AE552" s="190"/>
      <c r="AF552" s="190"/>
      <c r="AG552" s="190"/>
      <c r="AH552" s="190"/>
      <c r="AI552" s="140"/>
      <c r="AJ552" s="140"/>
      <c r="AK552" s="141"/>
      <c r="AL552" s="141"/>
      <c r="AM552" s="141"/>
      <c r="AN552" s="243"/>
    </row>
    <row r="553" spans="2:89" s="4" customFormat="1" ht="12.75" customHeight="1">
      <c r="B553" s="190" t="s">
        <v>2192</v>
      </c>
      <c r="G553" s="190"/>
      <c r="H553" s="190"/>
      <c r="I553" s="190"/>
      <c r="J553" s="190"/>
      <c r="K553" s="190"/>
      <c r="L553" s="190"/>
      <c r="M553" s="190"/>
      <c r="N553" s="190"/>
      <c r="O553" s="190"/>
      <c r="P553" s="190"/>
      <c r="Q553" s="190"/>
      <c r="R553" s="190"/>
      <c r="S553" s="190"/>
      <c r="T553" s="190"/>
      <c r="U553" s="190"/>
      <c r="V553" s="190"/>
      <c r="W553" s="190"/>
      <c r="X553" s="190"/>
      <c r="Y553" s="190"/>
      <c r="Z553" s="190"/>
      <c r="AA553" s="190"/>
      <c r="AB553" s="190"/>
      <c r="AC553" s="190"/>
      <c r="AD553" s="190"/>
      <c r="AE553" s="190"/>
      <c r="AF553" s="190"/>
      <c r="AG553" s="190"/>
      <c r="AH553" s="190"/>
      <c r="AI553" s="140"/>
      <c r="AJ553" s="140"/>
      <c r="AK553" s="141"/>
      <c r="AL553" s="141"/>
      <c r="AM553" s="141"/>
      <c r="AN553" s="243"/>
      <c r="BL553"/>
      <c r="BM553"/>
      <c r="BN553"/>
      <c r="BO553"/>
      <c r="BP553"/>
      <c r="BQ553"/>
      <c r="CB553"/>
      <c r="CC553"/>
      <c r="CD553"/>
      <c r="CE553"/>
      <c r="CF553"/>
      <c r="CG553"/>
      <c r="CH553"/>
    </row>
    <row r="554" spans="2:89" s="4" customFormat="1" ht="12.75" customHeight="1">
      <c r="B554" s="32"/>
      <c r="D554" s="142"/>
      <c r="E554" s="143"/>
      <c r="I554" s="182"/>
      <c r="J554" s="183"/>
      <c r="K554" s="184"/>
      <c r="L554" s="184"/>
      <c r="M554" s="184"/>
      <c r="N554" s="184"/>
      <c r="O554" s="184"/>
      <c r="P554" s="185"/>
      <c r="Q554" s="1602" t="s">
        <v>2193</v>
      </c>
      <c r="R554" s="1602"/>
      <c r="S554" s="1602"/>
      <c r="T554" s="1602"/>
      <c r="U554" s="1602"/>
      <c r="V554" s="1602"/>
      <c r="W554" s="1602"/>
      <c r="X554" s="1602"/>
      <c r="Y554" s="1602"/>
      <c r="Z554" s="1602"/>
      <c r="AA554" s="1602"/>
      <c r="AB554" s="1602"/>
      <c r="AC554" s="1602"/>
      <c r="AD554" s="1602"/>
      <c r="AE554" s="1602"/>
      <c r="AF554" s="1602"/>
      <c r="AG554" s="140"/>
      <c r="AH554" s="140"/>
      <c r="AI554" s="140"/>
      <c r="AN554" s="243"/>
      <c r="AP554" s="6" t="s">
        <v>2194</v>
      </c>
      <c r="AQ554" s="7"/>
      <c r="AR554" s="7"/>
      <c r="AS554" s="7"/>
      <c r="AT554" s="7"/>
      <c r="AU554" s="7"/>
      <c r="AV554" s="7"/>
      <c r="AW554" s="7"/>
      <c r="AX554" s="7"/>
      <c r="AY554" s="7"/>
      <c r="AZ554" s="7"/>
      <c r="BA554" s="7"/>
      <c r="BB554" s="7"/>
      <c r="BC554" s="7"/>
      <c r="BD554" s="7"/>
      <c r="BE554" s="7"/>
      <c r="BF554" s="7"/>
      <c r="BG554" s="57"/>
      <c r="BL554"/>
      <c r="BM554"/>
      <c r="BN554"/>
      <c r="BO554"/>
      <c r="BP554"/>
      <c r="BQ554"/>
      <c r="CB554"/>
      <c r="CC554"/>
      <c r="CD554"/>
      <c r="CE554"/>
      <c r="CF554"/>
      <c r="CG554"/>
      <c r="CH554"/>
    </row>
    <row r="555" spans="2:89" s="4" customFormat="1" ht="12.75" customHeight="1">
      <c r="B555" s="3"/>
      <c r="I555" s="186"/>
      <c r="J555" s="140"/>
      <c r="N555" s="18"/>
      <c r="O555" s="18"/>
      <c r="P555" s="187"/>
      <c r="Q555" s="1602"/>
      <c r="R555" s="1602"/>
      <c r="S555" s="1602"/>
      <c r="T555" s="1602"/>
      <c r="U555" s="1602"/>
      <c r="V555" s="1602"/>
      <c r="W555" s="1602"/>
      <c r="X555" s="1602"/>
      <c r="Y555" s="1602"/>
      <c r="Z555" s="1602"/>
      <c r="AA555" s="1602"/>
      <c r="AB555" s="1602"/>
      <c r="AC555" s="1602"/>
      <c r="AD555" s="1602"/>
      <c r="AE555" s="1602"/>
      <c r="AF555" s="1602"/>
      <c r="AN555" s="243"/>
      <c r="AP555" s="46" t="s">
        <v>2195</v>
      </c>
      <c r="AQ555" s="47"/>
      <c r="AR555" s="47"/>
      <c r="AS555" s="47"/>
      <c r="AT555" s="47"/>
      <c r="AU555" s="47"/>
      <c r="AV555" s="47"/>
      <c r="AW555" s="47"/>
      <c r="AX555" s="47"/>
      <c r="AY555" s="47"/>
      <c r="AZ555" s="47"/>
      <c r="BA555" s="47"/>
      <c r="BB555" s="47"/>
      <c r="BC555" s="8"/>
      <c r="BD555" s="354" t="str">
        <f>IF(CN574=0,"passed","failed")</f>
        <v>passed</v>
      </c>
      <c r="BE555" s="355"/>
      <c r="BF555" s="355"/>
      <c r="BG555" s="35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56"/>
      <c r="I556" s="188"/>
      <c r="J556" s="189"/>
      <c r="K556" s="148"/>
      <c r="L556" s="148"/>
      <c r="M556" s="148"/>
      <c r="N556" s="339"/>
      <c r="O556" s="339"/>
      <c r="P556" s="402"/>
      <c r="Q556" s="1588" t="s">
        <v>2196</v>
      </c>
      <c r="R556" s="1589"/>
      <c r="S556" s="1753" t="s">
        <v>2197</v>
      </c>
      <c r="T556" s="1753"/>
      <c r="U556" s="1588">
        <v>0.5</v>
      </c>
      <c r="V556" s="1589"/>
      <c r="W556" s="1588">
        <v>0.45</v>
      </c>
      <c r="X556" s="1589"/>
      <c r="Y556" s="1588">
        <v>0.4</v>
      </c>
      <c r="Z556" s="1589"/>
      <c r="AA556" s="1588">
        <v>0.35</v>
      </c>
      <c r="AB556" s="1589"/>
      <c r="AC556" s="1677">
        <v>0.3</v>
      </c>
      <c r="AD556" s="1678"/>
      <c r="AE556" s="1588">
        <v>0.2</v>
      </c>
      <c r="AF556" s="1589"/>
      <c r="AN556" s="243"/>
      <c r="BL556"/>
      <c r="BM556"/>
      <c r="BN556"/>
      <c r="BO556"/>
      <c r="BP556"/>
      <c r="BQ556"/>
      <c r="BR556"/>
      <c r="BS556"/>
      <c r="BT556"/>
      <c r="BU556"/>
      <c r="BV556"/>
      <c r="BW556"/>
      <c r="BX556"/>
      <c r="BY556"/>
      <c r="BZ556"/>
      <c r="CA556"/>
      <c r="CB556"/>
      <c r="CC556"/>
      <c r="CD556"/>
      <c r="CE556"/>
      <c r="CF556"/>
      <c r="CG556"/>
      <c r="CH556"/>
    </row>
    <row r="557" spans="2:89" s="4" customFormat="1" ht="12.75" customHeight="1">
      <c r="B557" s="56"/>
      <c r="I557" s="186"/>
      <c r="J557" s="140"/>
      <c r="N557" s="37"/>
      <c r="O557" s="1557"/>
      <c r="P557" s="1558"/>
      <c r="Q557" s="1586"/>
      <c r="R557" s="1587"/>
      <c r="S557" s="1661"/>
      <c r="T557" s="1661"/>
      <c r="U557" s="1587"/>
      <c r="V557" s="1587"/>
      <c r="W557" s="1587"/>
      <c r="X557" s="1587"/>
      <c r="Y557" s="1587"/>
      <c r="Z557" s="1587"/>
      <c r="AA557" s="1653"/>
      <c r="AB557" s="1653"/>
      <c r="AC557" s="1587"/>
      <c r="AD557" s="1587"/>
      <c r="AE557" s="1675"/>
      <c r="AF557" s="1676"/>
      <c r="AN557" s="243"/>
      <c r="AP557" s="122" t="s">
        <v>2198</v>
      </c>
      <c r="AQ557" s="9"/>
      <c r="AR557" s="9"/>
      <c r="AS557" s="9"/>
      <c r="AT557" s="1657" t="str">
        <f>IF(OR(AV551="passed",BD555="passed"),"passed","failed")</f>
        <v>passed</v>
      </c>
      <c r="AU557" s="1658"/>
      <c r="AV557" s="1658"/>
      <c r="AW557" s="1658"/>
      <c r="AX557" s="1659"/>
    </row>
    <row r="558" spans="2:89" s="4" customFormat="1" ht="12.75" customHeight="1">
      <c r="B558" s="56"/>
      <c r="I558" s="186"/>
      <c r="J558" s="140"/>
      <c r="N558" s="37"/>
      <c r="O558" s="1557"/>
      <c r="P558" s="1558"/>
      <c r="Q558" s="1559"/>
      <c r="R558" s="1560"/>
      <c r="S558" s="1560"/>
      <c r="T558" s="1560"/>
      <c r="U558" s="1560"/>
      <c r="V558" s="1560"/>
      <c r="W558" s="1560"/>
      <c r="X558" s="1560"/>
      <c r="Y558" s="1574"/>
      <c r="Z558" s="1574"/>
      <c r="AA558" s="1560"/>
      <c r="AB558" s="1560"/>
      <c r="AC558" s="1574"/>
      <c r="AD558" s="1574"/>
      <c r="AE558" s="1579"/>
      <c r="AF558" s="1580"/>
      <c r="AN558" s="243"/>
      <c r="AP558"/>
      <c r="AQ558"/>
      <c r="AR558"/>
      <c r="AS558"/>
      <c r="AT558"/>
      <c r="AU558"/>
      <c r="AV558"/>
      <c r="AW558"/>
      <c r="AX558"/>
      <c r="AY558"/>
    </row>
    <row r="559" spans="2:89" s="4" customFormat="1" ht="12.75" customHeight="1">
      <c r="B559" s="56"/>
      <c r="I559" s="186"/>
      <c r="J559" s="140"/>
      <c r="N559" s="37"/>
      <c r="O559" s="1557"/>
      <c r="P559" s="1558"/>
      <c r="Q559" s="1559"/>
      <c r="R559" s="1560"/>
      <c r="S559" s="1560"/>
      <c r="T559" s="1560"/>
      <c r="U559" s="1560"/>
      <c r="V559" s="1560"/>
      <c r="W559" s="1560"/>
      <c r="X559" s="1560"/>
      <c r="Y559" s="1560"/>
      <c r="Z559" s="1560"/>
      <c r="AA559" s="1574"/>
      <c r="AB559" s="1574"/>
      <c r="AC559" s="1560"/>
      <c r="AD559" s="1560"/>
      <c r="AE559" s="1685"/>
      <c r="AF559" s="1686"/>
      <c r="AN559" s="243"/>
      <c r="AP559" s="131" t="s">
        <v>2199</v>
      </c>
      <c r="AQ559" s="132"/>
      <c r="AR559" s="132"/>
      <c r="AS559" s="132"/>
      <c r="AT559" s="132"/>
      <c r="AU559" s="132"/>
      <c r="AV559" s="133"/>
      <c r="AW559" s="1682" t="str">
        <f>IF(AND(AND(AND(AND(AS539="passed",AU546="passed",BD555="passed",SUM(T605:X609)&gt;1)))),"YES","NO")</f>
        <v>YES</v>
      </c>
      <c r="AX559" s="1683"/>
      <c r="AY559" s="1684"/>
      <c r="AZ559" s="36"/>
      <c r="BA559" s="36"/>
      <c r="BB559" s="36"/>
      <c r="BC559" s="36"/>
      <c r="BD559" s="36"/>
      <c r="BE559" s="21"/>
      <c r="BF559" s="21"/>
      <c r="BG559" s="21"/>
    </row>
    <row r="560" spans="2:89" s="4" customFormat="1" ht="12.75" customHeight="1">
      <c r="B560" s="56"/>
      <c r="I560" s="186"/>
      <c r="J560" s="140"/>
      <c r="N560" s="37"/>
      <c r="O560" s="1557"/>
      <c r="P560" s="1558"/>
      <c r="Q560" s="1559"/>
      <c r="R560" s="1560"/>
      <c r="S560" s="1560"/>
      <c r="T560" s="1560"/>
      <c r="U560" s="1560"/>
      <c r="V560" s="1560"/>
      <c r="W560" s="1560"/>
      <c r="X560" s="1560"/>
      <c r="Y560" s="1574"/>
      <c r="Z560" s="1574"/>
      <c r="AA560" s="1560"/>
      <c r="AB560" s="1560"/>
      <c r="AC560" s="1574"/>
      <c r="AD560" s="1574"/>
      <c r="AE560" s="1579"/>
      <c r="AF560" s="1580"/>
      <c r="AN560" s="243"/>
    </row>
    <row r="561" spans="1:96" s="4" customFormat="1" ht="12.75" customHeight="1">
      <c r="B561" s="56"/>
      <c r="I561" s="186"/>
      <c r="J561" s="140"/>
      <c r="N561" s="37"/>
      <c r="O561" s="1557"/>
      <c r="P561" s="1558"/>
      <c r="Q561" s="1559"/>
      <c r="R561" s="1560"/>
      <c r="S561" s="1560"/>
      <c r="T561" s="1560"/>
      <c r="U561" s="1560"/>
      <c r="V561" s="1560"/>
      <c r="W561" s="1574"/>
      <c r="X561" s="1574"/>
      <c r="Y561" s="1560"/>
      <c r="Z561" s="1560"/>
      <c r="AA561" s="1574"/>
      <c r="AB561" s="1574"/>
      <c r="AC561" s="1560"/>
      <c r="AD561" s="1560"/>
      <c r="AE561" s="1685"/>
      <c r="AF561" s="1686"/>
      <c r="AN561" s="243"/>
    </row>
    <row r="562" spans="1:96" s="4" customFormat="1" ht="12.75" customHeight="1">
      <c r="B562" s="56"/>
      <c r="I562" s="186"/>
      <c r="J562" s="140"/>
      <c r="N562" s="37"/>
      <c r="O562" s="1557"/>
      <c r="P562" s="1558"/>
      <c r="Q562" s="1559"/>
      <c r="R562" s="1560"/>
      <c r="S562" s="1560"/>
      <c r="T562" s="1560"/>
      <c r="U562" s="1560"/>
      <c r="V562" s="1560"/>
      <c r="W562" s="1560"/>
      <c r="X562" s="1560"/>
      <c r="Y562" s="1574"/>
      <c r="Z562" s="1574"/>
      <c r="AA562" s="1560"/>
      <c r="AB562" s="1560"/>
      <c r="AC562" s="1574"/>
      <c r="AD562" s="1574"/>
      <c r="AE562" s="1579"/>
      <c r="AF562" s="1580"/>
      <c r="AN562" s="243"/>
      <c r="AU562" s="21"/>
      <c r="AV562" s="21"/>
      <c r="AW562" s="8"/>
      <c r="AX562" s="9"/>
      <c r="AY562" s="9"/>
      <c r="AZ562" s="53" t="s">
        <v>2200</v>
      </c>
      <c r="BA562" s="1690" t="s">
        <v>2201</v>
      </c>
      <c r="BB562" s="1691"/>
      <c r="BC562" s="1691"/>
      <c r="BD562" s="1691"/>
      <c r="BE562" s="1692"/>
      <c r="BF562" s="1561">
        <f>SUM(O605:S609)</f>
        <v>43</v>
      </c>
      <c r="BG562" s="1562"/>
      <c r="BH562" s="1562"/>
      <c r="BI562" s="1562"/>
      <c r="BJ562" s="1563"/>
      <c r="BK562" s="1561">
        <f>SUM(T605:X609)</f>
        <v>22</v>
      </c>
      <c r="BL562" s="1562"/>
      <c r="BM562" s="1562"/>
      <c r="BN562" s="1562"/>
      <c r="BO562" s="1563"/>
    </row>
    <row r="563" spans="1:96" s="4" customFormat="1" ht="12.75" customHeight="1">
      <c r="B563" s="32"/>
      <c r="I563" s="1082" t="s">
        <v>2138</v>
      </c>
      <c r="J563" s="1083"/>
      <c r="K563" s="1083"/>
      <c r="L563" s="1083"/>
      <c r="M563" s="1083"/>
      <c r="N563" s="1084"/>
      <c r="O563" s="1557">
        <v>0.5</v>
      </c>
      <c r="P563" s="1558"/>
      <c r="Q563" s="1570"/>
      <c r="R563" s="1571"/>
      <c r="S563" s="1560"/>
      <c r="T563" s="1560"/>
      <c r="U563" s="1601" t="s">
        <v>2202</v>
      </c>
      <c r="V563" s="1601"/>
      <c r="W563" s="1573">
        <v>37.5</v>
      </c>
      <c r="X563" s="1573"/>
      <c r="Y563" s="1571"/>
      <c r="Z563" s="1571"/>
      <c r="AA563" s="1573"/>
      <c r="AB563" s="1573"/>
      <c r="AC563" s="1571"/>
      <c r="AD563" s="1571"/>
      <c r="AE563" s="1687"/>
      <c r="AF563" s="1688"/>
      <c r="AN563" s="243"/>
      <c r="CL563"/>
      <c r="CM563"/>
    </row>
    <row r="564" spans="1:96" s="4" customFormat="1" ht="12.75" customHeight="1">
      <c r="B564" s="99"/>
      <c r="C564" s="54"/>
      <c r="I564" s="1082"/>
      <c r="J564" s="1083"/>
      <c r="K564" s="1083"/>
      <c r="L564" s="1083"/>
      <c r="M564" s="1083"/>
      <c r="N564" s="1084"/>
      <c r="O564" s="1557">
        <v>0.45</v>
      </c>
      <c r="P564" s="1558"/>
      <c r="Q564" s="1559"/>
      <c r="R564" s="1560"/>
      <c r="S564" s="1560"/>
      <c r="T564" s="1560"/>
      <c r="U564" s="1572" t="s">
        <v>2203</v>
      </c>
      <c r="V564" s="1572"/>
      <c r="W564" s="1574">
        <v>33.799999999999997</v>
      </c>
      <c r="X564" s="1574"/>
      <c r="Y564" s="1574"/>
      <c r="Z564" s="1574"/>
      <c r="AA564" s="1560"/>
      <c r="AB564" s="1560"/>
      <c r="AC564" s="1574"/>
      <c r="AD564" s="1574"/>
      <c r="AE564" s="1579"/>
      <c r="AF564" s="1580"/>
      <c r="AN564" s="243"/>
      <c r="CL564"/>
      <c r="CM564"/>
    </row>
    <row r="565" spans="1:96" s="4" customFormat="1" ht="12.75" customHeight="1">
      <c r="B565" s="37"/>
      <c r="C565" s="37"/>
      <c r="D565" s="37"/>
      <c r="E565" s="37"/>
      <c r="I565" s="1082"/>
      <c r="J565" s="1083"/>
      <c r="K565" s="1083"/>
      <c r="L565" s="1083"/>
      <c r="M565" s="1083"/>
      <c r="N565" s="1084"/>
      <c r="O565" s="1557">
        <v>0.4</v>
      </c>
      <c r="P565" s="1558"/>
      <c r="Q565" s="1559"/>
      <c r="R565" s="1560"/>
      <c r="S565" s="1572" t="s">
        <v>2204</v>
      </c>
      <c r="T565" s="1572"/>
      <c r="U565" s="1574">
        <v>20</v>
      </c>
      <c r="V565" s="1574"/>
      <c r="W565" s="1574">
        <v>30</v>
      </c>
      <c r="X565" s="1574"/>
      <c r="Y565" s="1574"/>
      <c r="Z565" s="1574"/>
      <c r="AA565" s="1574"/>
      <c r="AB565" s="1574"/>
      <c r="AC565" s="1574"/>
      <c r="AD565" s="1574"/>
      <c r="AE565" s="1579"/>
      <c r="AF565" s="1580"/>
      <c r="AN565" s="243"/>
      <c r="AP565" s="1754" t="s">
        <v>2205</v>
      </c>
      <c r="AQ565" s="1755"/>
      <c r="AR565" s="1755"/>
      <c r="AS565" s="1755"/>
      <c r="AT565" s="1755"/>
      <c r="AU565" s="1755"/>
      <c r="AV565" s="1755"/>
      <c r="AW565" s="1755"/>
      <c r="AX565" s="1755"/>
      <c r="AY565" s="1755"/>
      <c r="AZ565" s="1755"/>
      <c r="BA565" s="1755"/>
      <c r="BB565" s="1755"/>
      <c r="BC565" s="1755"/>
      <c r="BD565" s="1755"/>
      <c r="BE565" s="1755"/>
      <c r="BF565" s="1755"/>
      <c r="BG565" s="1755"/>
      <c r="BH565" s="1755"/>
      <c r="BI565" s="1755"/>
      <c r="BJ565" s="1756"/>
      <c r="BK565" s="1669">
        <f>BF562</f>
        <v>43</v>
      </c>
      <c r="BL565" s="1670"/>
      <c r="BM565" s="1670"/>
      <c r="BN565" s="1670"/>
      <c r="BO565" s="167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37"/>
      <c r="C566" s="37"/>
      <c r="D566" s="37"/>
      <c r="E566" s="37"/>
      <c r="I566" s="1082"/>
      <c r="J566" s="1083"/>
      <c r="K566" s="1083"/>
      <c r="L566" s="1083"/>
      <c r="M566" s="1083"/>
      <c r="N566" s="1084"/>
      <c r="O566" s="1557">
        <v>0.35</v>
      </c>
      <c r="P566" s="1558"/>
      <c r="Q566" s="1559"/>
      <c r="R566" s="1560"/>
      <c r="S566" s="1572" t="s">
        <v>2206</v>
      </c>
      <c r="T566" s="1572"/>
      <c r="U566" s="1574">
        <v>17.5</v>
      </c>
      <c r="V566" s="1574"/>
      <c r="W566" s="1574">
        <v>26.3</v>
      </c>
      <c r="X566" s="1574"/>
      <c r="Y566" s="1574">
        <v>35</v>
      </c>
      <c r="Z566" s="1574"/>
      <c r="AA566" s="1574"/>
      <c r="AB566" s="1574"/>
      <c r="AC566" s="1574">
        <v>50</v>
      </c>
      <c r="AD566" s="1574"/>
      <c r="AE566" s="1579"/>
      <c r="AF566" s="1580"/>
      <c r="AN566" s="243"/>
      <c r="AP566" s="1757"/>
      <c r="AQ566" s="1758"/>
      <c r="AR566" s="1758"/>
      <c r="AS566" s="1758"/>
      <c r="AT566" s="1758"/>
      <c r="AU566" s="1758"/>
      <c r="AV566" s="1758"/>
      <c r="AW566" s="1758"/>
      <c r="AX566" s="1758"/>
      <c r="AY566" s="1758"/>
      <c r="AZ566" s="1758"/>
      <c r="BA566" s="1758"/>
      <c r="BB566" s="1758"/>
      <c r="BC566" s="1758"/>
      <c r="BD566" s="1758"/>
      <c r="BE566" s="1758"/>
      <c r="BF566" s="1758"/>
      <c r="BG566" s="1758"/>
      <c r="BH566" s="1758"/>
      <c r="BI566" s="1758"/>
      <c r="BJ566" s="1759"/>
      <c r="BK566" s="1672"/>
      <c r="BL566" s="1673"/>
      <c r="BM566" s="1673"/>
      <c r="BN566" s="1673"/>
      <c r="BO566" s="167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37"/>
      <c r="C567" s="37"/>
      <c r="D567" s="37"/>
      <c r="E567" s="37"/>
      <c r="I567" s="1082"/>
      <c r="J567" s="1083"/>
      <c r="K567" s="1083"/>
      <c r="L567" s="1083"/>
      <c r="M567" s="1083"/>
      <c r="N567" s="1084"/>
      <c r="O567" s="1557">
        <v>0.3</v>
      </c>
      <c r="P567" s="1558"/>
      <c r="Q567" s="1559"/>
      <c r="R567" s="1560"/>
      <c r="S567" s="1572" t="s">
        <v>2207</v>
      </c>
      <c r="T567" s="1572"/>
      <c r="U567" s="1574">
        <v>15</v>
      </c>
      <c r="V567" s="1574"/>
      <c r="W567" s="1574">
        <v>22.5</v>
      </c>
      <c r="X567" s="1574"/>
      <c r="Y567" s="1574">
        <v>30</v>
      </c>
      <c r="Z567" s="1574"/>
      <c r="AA567" s="1574">
        <v>37.5</v>
      </c>
      <c r="AB567" s="1574"/>
      <c r="AC567" s="1574">
        <v>45</v>
      </c>
      <c r="AD567" s="1574"/>
      <c r="AE567" s="1579"/>
      <c r="AF567" s="1580"/>
      <c r="AN567" s="243"/>
      <c r="AP567" s="34"/>
      <c r="AQ567" s="21"/>
      <c r="AR567" s="21"/>
      <c r="AS567" s="21"/>
      <c r="AT567" s="21"/>
      <c r="AU567" s="21"/>
      <c r="AV567" s="21"/>
      <c r="AW567" s="21"/>
      <c r="AX567" s="21"/>
      <c r="AY567" s="21"/>
      <c r="AZ567" s="21"/>
      <c r="BA567" s="21"/>
      <c r="BB567" s="21"/>
      <c r="BC567" s="21"/>
      <c r="BD567" s="21"/>
      <c r="BE567" s="36"/>
      <c r="BF567" s="36"/>
      <c r="BG567" s="36"/>
      <c r="BH567" s="36"/>
      <c r="BI567" s="36"/>
      <c r="BJ567" s="1144">
        <v>5</v>
      </c>
      <c r="BK567" s="1145"/>
      <c r="BL567" s="1145"/>
      <c r="BM567" s="1145"/>
      <c r="BN567" s="1146"/>
      <c r="BO567" s="1144">
        <v>4</v>
      </c>
      <c r="BP567" s="1145"/>
      <c r="BQ567" s="1145"/>
      <c r="BR567" s="1145"/>
      <c r="BS567" s="1146"/>
      <c r="BT567" s="1144">
        <v>3</v>
      </c>
      <c r="BU567" s="1145"/>
      <c r="BV567" s="1145"/>
      <c r="BW567" s="1145"/>
      <c r="BX567" s="1146"/>
      <c r="BY567" s="1144">
        <v>2</v>
      </c>
      <c r="BZ567" s="1145"/>
      <c r="CA567" s="1145"/>
      <c r="CB567" s="1145"/>
      <c r="CC567" s="1146"/>
      <c r="CD567" s="1144">
        <v>1</v>
      </c>
      <c r="CE567" s="1145"/>
      <c r="CF567" s="1145"/>
      <c r="CG567" s="1145"/>
      <c r="CH567" s="1146"/>
      <c r="CI567" s="1144">
        <v>0</v>
      </c>
      <c r="CJ567" s="1145"/>
      <c r="CK567" s="1145"/>
      <c r="CL567" s="1145"/>
      <c r="CM567" s="1146"/>
      <c r="CN567" s="21"/>
      <c r="CO567" s="21"/>
      <c r="CP567" s="21"/>
      <c r="CQ567" s="21"/>
      <c r="CR567" s="21"/>
    </row>
    <row r="568" spans="1:96" s="4" customFormat="1" ht="12.75" customHeight="1">
      <c r="B568" s="37"/>
      <c r="C568" s="37"/>
      <c r="D568" s="37"/>
      <c r="E568" s="37"/>
      <c r="I568" s="1082"/>
      <c r="J568" s="1083"/>
      <c r="K568" s="1083"/>
      <c r="L568" s="1083"/>
      <c r="M568" s="1083"/>
      <c r="N568" s="1084"/>
      <c r="O568" s="1557">
        <v>0.25</v>
      </c>
      <c r="P568" s="1558"/>
      <c r="Q568" s="1559"/>
      <c r="R568" s="1560"/>
      <c r="S568" s="1572" t="s">
        <v>2208</v>
      </c>
      <c r="T568" s="1572"/>
      <c r="U568" s="1574">
        <v>12.5</v>
      </c>
      <c r="V568" s="1574"/>
      <c r="W568" s="1574">
        <v>18.8</v>
      </c>
      <c r="X568" s="1574"/>
      <c r="Y568" s="1574">
        <v>25</v>
      </c>
      <c r="Z568" s="1574"/>
      <c r="AA568" s="1574">
        <v>31.3</v>
      </c>
      <c r="AB568" s="1574"/>
      <c r="AC568" s="1574">
        <v>37.5</v>
      </c>
      <c r="AD568" s="1574"/>
      <c r="AE568" s="1579">
        <v>50</v>
      </c>
      <c r="AF568" s="1580"/>
      <c r="AN568" s="243"/>
      <c r="AP568" s="1654" t="str">
        <f t="shared" ref="AP568:AP574" si="0">J604</f>
        <v>5 BR</v>
      </c>
      <c r="AQ568" s="1655"/>
      <c r="AR568" s="1655"/>
      <c r="AS568" s="1655"/>
      <c r="AT568" s="1656"/>
      <c r="AU568" s="1255">
        <f t="shared" ref="AU568:AU573" si="1">O604</f>
        <v>0</v>
      </c>
      <c r="AV568" s="1256"/>
      <c r="AW568" s="1256"/>
      <c r="AX568" s="1256"/>
      <c r="AY568" s="1257"/>
      <c r="AZ568" s="1255">
        <f t="shared" ref="AZ568:AZ573" si="2">T604</f>
        <v>0</v>
      </c>
      <c r="BA568" s="1256"/>
      <c r="BB568" s="1256"/>
      <c r="BC568" s="1256"/>
      <c r="BD568" s="1257"/>
      <c r="BE568" s="1317">
        <f t="shared" ref="BE568:BE573" si="3">Y604</f>
        <v>0</v>
      </c>
      <c r="BF568" s="1318"/>
      <c r="BG568" s="1318"/>
      <c r="BH568" s="1318"/>
      <c r="BI568" s="1319"/>
      <c r="BJ568" s="1144">
        <f>IF(OR(AP578=0,BE568&gt;=0.1),0,1)</f>
        <v>0</v>
      </c>
      <c r="BK568" s="1145"/>
      <c r="BL568" s="1145"/>
      <c r="BM568" s="1145"/>
      <c r="BN568" s="1146"/>
      <c r="BO568" s="1144"/>
      <c r="BP568" s="1145"/>
      <c r="BQ568" s="1145"/>
      <c r="BR568" s="1145"/>
      <c r="BS568" s="1146"/>
      <c r="BT568" s="1144"/>
      <c r="BU568" s="1145"/>
      <c r="BV568" s="1145"/>
      <c r="BW568" s="1145"/>
      <c r="BX568" s="1146"/>
      <c r="BY568" s="1144"/>
      <c r="BZ568" s="1145"/>
      <c r="CA568" s="1145"/>
      <c r="CB568" s="1145"/>
      <c r="CC568" s="1146"/>
      <c r="CD568" s="1144"/>
      <c r="CE568" s="1145"/>
      <c r="CF568" s="1145"/>
      <c r="CG568" s="1145"/>
      <c r="CH568" s="1146"/>
      <c r="CI568" s="1144"/>
      <c r="CJ568" s="1145"/>
      <c r="CK568" s="1145"/>
      <c r="CL568" s="1145"/>
      <c r="CM568" s="1146"/>
      <c r="CN568" s="21"/>
      <c r="CO568" s="21"/>
      <c r="CP568" s="21"/>
      <c r="CQ568" s="21"/>
      <c r="CR568" s="21"/>
    </row>
    <row r="569" spans="1:96" s="4" customFormat="1" ht="12.75" customHeight="1">
      <c r="A569" s="99"/>
      <c r="B569" s="37"/>
      <c r="C569" s="37"/>
      <c r="D569" s="37"/>
      <c r="E569" s="37"/>
      <c r="I569" s="1082"/>
      <c r="J569" s="1083"/>
      <c r="K569" s="1083"/>
      <c r="L569" s="1083"/>
      <c r="M569" s="1083"/>
      <c r="N569" s="1084"/>
      <c r="O569" s="1557">
        <v>0.2</v>
      </c>
      <c r="P569" s="1558"/>
      <c r="Q569" s="1559"/>
      <c r="R569" s="1560"/>
      <c r="S569" s="1585" t="s">
        <v>2209</v>
      </c>
      <c r="T569" s="1585"/>
      <c r="U569" s="1574">
        <v>10</v>
      </c>
      <c r="V569" s="1574"/>
      <c r="W569" s="1574">
        <v>15</v>
      </c>
      <c r="X569" s="1574"/>
      <c r="Y569" s="1574">
        <v>20</v>
      </c>
      <c r="Z569" s="1574"/>
      <c r="AA569" s="1574">
        <v>25</v>
      </c>
      <c r="AB569" s="1574"/>
      <c r="AC569" s="1574">
        <v>30</v>
      </c>
      <c r="AD569" s="1574"/>
      <c r="AE569" s="1579">
        <v>40</v>
      </c>
      <c r="AF569" s="1580"/>
      <c r="AN569" s="243"/>
      <c r="AP569" s="1654" t="str">
        <f t="shared" si="0"/>
        <v>4 BR</v>
      </c>
      <c r="AQ569" s="1655"/>
      <c r="AR569" s="1655"/>
      <c r="AS569" s="1655"/>
      <c r="AT569" s="1656"/>
      <c r="AU569" s="1255">
        <f t="shared" si="1"/>
        <v>0</v>
      </c>
      <c r="AV569" s="1256"/>
      <c r="AW569" s="1256"/>
      <c r="AX569" s="1256"/>
      <c r="AY569" s="1257"/>
      <c r="AZ569" s="1255">
        <f t="shared" si="2"/>
        <v>0</v>
      </c>
      <c r="BA569" s="1256"/>
      <c r="BB569" s="1256"/>
      <c r="BC569" s="1256"/>
      <c r="BD569" s="1257"/>
      <c r="BE569" s="1317">
        <f t="shared" si="3"/>
        <v>0</v>
      </c>
      <c r="BF569" s="1318"/>
      <c r="BG569" s="1318"/>
      <c r="BH569" s="1318"/>
      <c r="BI569" s="1319"/>
      <c r="BJ569" s="1144"/>
      <c r="BK569" s="1145"/>
      <c r="BL569" s="1145"/>
      <c r="BM569" s="1145"/>
      <c r="BN569" s="1146"/>
      <c r="BO569" s="1144">
        <f>IF(AND(AND(AZ568=0,BJ568=0,AP579=1)),1,0)</f>
        <v>0</v>
      </c>
      <c r="BP569" s="1145"/>
      <c r="BQ569" s="1145"/>
      <c r="BR569" s="1145"/>
      <c r="BS569" s="1146"/>
      <c r="BT569" s="1144"/>
      <c r="BU569" s="1145"/>
      <c r="BV569" s="1145"/>
      <c r="BW569" s="1145"/>
      <c r="BX569" s="1146"/>
      <c r="BY569" s="1144"/>
      <c r="BZ569" s="1145"/>
      <c r="CA569" s="1145"/>
      <c r="CB569" s="1145"/>
      <c r="CC569" s="1146"/>
      <c r="CD569" s="1144"/>
      <c r="CE569" s="1145"/>
      <c r="CF569" s="1145"/>
      <c r="CG569" s="1145"/>
      <c r="CH569" s="1146"/>
      <c r="CI569" s="1144"/>
      <c r="CJ569" s="1145"/>
      <c r="CK569" s="1145"/>
      <c r="CL569" s="1145"/>
      <c r="CM569" s="1146"/>
      <c r="CN569" s="21"/>
      <c r="CO569" s="21"/>
      <c r="CP569" s="21"/>
      <c r="CQ569" s="21"/>
      <c r="CR569" s="21"/>
    </row>
    <row r="570" spans="1:96" s="4" customFormat="1" ht="12.75" customHeight="1">
      <c r="A570" s="99"/>
      <c r="B570" s="37"/>
      <c r="C570" s="37"/>
      <c r="D570" s="37"/>
      <c r="E570" s="37"/>
      <c r="I570" s="1082"/>
      <c r="J570" s="1083"/>
      <c r="K570" s="1083"/>
      <c r="L570" s="1083"/>
      <c r="M570" s="1083"/>
      <c r="N570" s="1084"/>
      <c r="O570" s="1557">
        <v>0.15</v>
      </c>
      <c r="P570" s="1558"/>
      <c r="Q570" s="1559"/>
      <c r="R570" s="1560"/>
      <c r="S570" s="1572" t="s">
        <v>2210</v>
      </c>
      <c r="T570" s="1572"/>
      <c r="U570" s="1574">
        <v>7.5</v>
      </c>
      <c r="V570" s="1574"/>
      <c r="W570" s="1574">
        <v>11.3</v>
      </c>
      <c r="X570" s="1574"/>
      <c r="Y570" s="1574">
        <v>15</v>
      </c>
      <c r="Z570" s="1574"/>
      <c r="AA570" s="1574">
        <v>18.8</v>
      </c>
      <c r="AB570" s="1574"/>
      <c r="AC570" s="1574">
        <v>22.5</v>
      </c>
      <c r="AD570" s="1574"/>
      <c r="AE570" s="1579">
        <v>30</v>
      </c>
      <c r="AF570" s="1580"/>
      <c r="AN570" s="243"/>
      <c r="AP570" s="1654" t="str">
        <f t="shared" si="0"/>
        <v>3 BR</v>
      </c>
      <c r="AQ570" s="1655"/>
      <c r="AR570" s="1655"/>
      <c r="AS570" s="1655"/>
      <c r="AT570" s="1656"/>
      <c r="AU570" s="1255">
        <f t="shared" si="1"/>
        <v>0</v>
      </c>
      <c r="AV570" s="1256"/>
      <c r="AW570" s="1256"/>
      <c r="AX570" s="1256"/>
      <c r="AY570" s="1257"/>
      <c r="AZ570" s="1255">
        <f t="shared" si="2"/>
        <v>0</v>
      </c>
      <c r="BA570" s="1256"/>
      <c r="BB570" s="1256"/>
      <c r="BC570" s="1256"/>
      <c r="BD570" s="1257"/>
      <c r="BE570" s="1317">
        <f t="shared" si="3"/>
        <v>0</v>
      </c>
      <c r="BF570" s="1318"/>
      <c r="BG570" s="1318"/>
      <c r="BH570" s="1318"/>
      <c r="BI570" s="1319"/>
      <c r="BJ570" s="1144"/>
      <c r="BK570" s="1145"/>
      <c r="BL570" s="1145"/>
      <c r="BM570" s="1145"/>
      <c r="BN570" s="1146"/>
      <c r="BO570" s="1144"/>
      <c r="BP570" s="1145"/>
      <c r="BQ570" s="1145"/>
      <c r="BR570" s="1145"/>
      <c r="BS570" s="1146"/>
      <c r="BT570" s="1144">
        <f>IF(AND(AND(AZ568+AZ569=0,BJ568+BO569=0,AP580=1)),1,0)</f>
        <v>0</v>
      </c>
      <c r="BU570" s="1145"/>
      <c r="BV570" s="1145"/>
      <c r="BW570" s="1145"/>
      <c r="BX570" s="1146"/>
      <c r="BY570" s="1144"/>
      <c r="BZ570" s="1145"/>
      <c r="CA570" s="1145"/>
      <c r="CB570" s="1145"/>
      <c r="CC570" s="1146"/>
      <c r="CD570" s="1144"/>
      <c r="CE570" s="1145"/>
      <c r="CF570" s="1145"/>
      <c r="CG570" s="1145"/>
      <c r="CH570" s="1146"/>
      <c r="CI570" s="1144"/>
      <c r="CJ570" s="1145"/>
      <c r="CK570" s="1145"/>
      <c r="CL570" s="1145"/>
      <c r="CM570" s="1146"/>
      <c r="CN570" s="21"/>
      <c r="CO570" s="21"/>
      <c r="CP570" s="21"/>
      <c r="CQ570" s="21"/>
      <c r="CR570" s="21"/>
    </row>
    <row r="571" spans="1:96" s="4" customFormat="1" ht="12.75" customHeight="1" thickBot="1">
      <c r="B571" s="37"/>
      <c r="C571" s="37"/>
      <c r="D571" s="37"/>
      <c r="E571" s="37"/>
      <c r="I571" s="1085"/>
      <c r="J571" s="1086"/>
      <c r="K571" s="1086"/>
      <c r="L571" s="1086"/>
      <c r="M571" s="1086"/>
      <c r="N571" s="1087"/>
      <c r="O571" s="1557">
        <v>0.1</v>
      </c>
      <c r="P571" s="1558"/>
      <c r="Q571" s="1583"/>
      <c r="R571" s="1584"/>
      <c r="S571" s="1572" t="s">
        <v>2211</v>
      </c>
      <c r="T571" s="1572"/>
      <c r="U571" s="1592">
        <v>5</v>
      </c>
      <c r="V571" s="1592"/>
      <c r="W571" s="1592">
        <v>7.5</v>
      </c>
      <c r="X571" s="1592"/>
      <c r="Y571" s="1592">
        <v>10</v>
      </c>
      <c r="Z571" s="1592"/>
      <c r="AA571" s="1592">
        <v>12.5</v>
      </c>
      <c r="AB571" s="1592"/>
      <c r="AC571" s="1592">
        <v>15</v>
      </c>
      <c r="AD571" s="1592"/>
      <c r="AE571" s="1785">
        <v>20</v>
      </c>
      <c r="AF571" s="1786"/>
      <c r="AK571" s="145"/>
      <c r="AL571" s="145"/>
      <c r="AM571" s="37"/>
      <c r="AN571" s="243"/>
      <c r="AP571" s="1654" t="str">
        <f t="shared" si="0"/>
        <v>2 BR</v>
      </c>
      <c r="AQ571" s="1655"/>
      <c r="AR571" s="1655"/>
      <c r="AS571" s="1655"/>
      <c r="AT571" s="1656"/>
      <c r="AU571" s="1255">
        <f t="shared" si="1"/>
        <v>0</v>
      </c>
      <c r="AV571" s="1256"/>
      <c r="AW571" s="1256"/>
      <c r="AX571" s="1256"/>
      <c r="AY571" s="1257"/>
      <c r="AZ571" s="1255">
        <f t="shared" si="2"/>
        <v>0</v>
      </c>
      <c r="BA571" s="1256"/>
      <c r="BB571" s="1256"/>
      <c r="BC571" s="1256"/>
      <c r="BD571" s="1257"/>
      <c r="BE571" s="1317">
        <f t="shared" si="3"/>
        <v>0</v>
      </c>
      <c r="BF571" s="1318"/>
      <c r="BG571" s="1318"/>
      <c r="BH571" s="1318"/>
      <c r="BI571" s="1319"/>
      <c r="BJ571" s="1144"/>
      <c r="BK571" s="1145"/>
      <c r="BL571" s="1145"/>
      <c r="BM571" s="1145"/>
      <c r="BN571" s="1146"/>
      <c r="BO571" s="1144"/>
      <c r="BP571" s="1145"/>
      <c r="BQ571" s="1145"/>
      <c r="BR571" s="1145"/>
      <c r="BS571" s="1146"/>
      <c r="BT571" s="1144"/>
      <c r="BU571" s="1145"/>
      <c r="BV571" s="1145"/>
      <c r="BW571" s="1145"/>
      <c r="BX571" s="1146"/>
      <c r="BY571" s="1144">
        <f>IF(AND(AND(AZ568+AZ569+AZ570=0,BO569+BT570+BJ568=0,AP581=1)),1,0)</f>
        <v>0</v>
      </c>
      <c r="BZ571" s="1145"/>
      <c r="CA571" s="1145"/>
      <c r="CB571" s="1145"/>
      <c r="CC571" s="1146"/>
      <c r="CD571" s="1144"/>
      <c r="CE571" s="1145"/>
      <c r="CF571" s="1145"/>
      <c r="CG571" s="1145"/>
      <c r="CH571" s="1146"/>
      <c r="CI571" s="1144"/>
      <c r="CJ571" s="1145"/>
      <c r="CK571" s="1145"/>
      <c r="CL571" s="1145"/>
      <c r="CM571" s="1146"/>
      <c r="CN571" s="21"/>
      <c r="CO571" s="21"/>
      <c r="CP571" s="21"/>
      <c r="CQ571" s="21"/>
      <c r="CR571" s="21"/>
    </row>
    <row r="572" spans="1:96" s="4" customFormat="1" ht="12.75" customHeight="1">
      <c r="B572" s="37"/>
      <c r="C572" s="37"/>
      <c r="D572" s="37"/>
      <c r="E572" s="1127" t="s">
        <v>2212</v>
      </c>
      <c r="F572" s="1464"/>
      <c r="G572" s="1464"/>
      <c r="H572" s="1464"/>
      <c r="I572" s="1464"/>
      <c r="J572" s="1464"/>
      <c r="K572" s="1464"/>
      <c r="L572" s="1464"/>
      <c r="M572" s="1464"/>
      <c r="N572" s="1464"/>
      <c r="O572" s="1464"/>
      <c r="P572" s="1464"/>
      <c r="Q572" s="1464"/>
      <c r="R572" s="1464"/>
      <c r="S572" s="1464"/>
      <c r="T572" s="1464"/>
      <c r="U572" s="1464"/>
      <c r="V572" s="1464"/>
      <c r="W572" s="1464"/>
      <c r="X572" s="1464"/>
      <c r="Y572" s="1464"/>
      <c r="Z572" s="1464"/>
      <c r="AA572" s="1464"/>
      <c r="AB572" s="1464"/>
      <c r="AC572" s="1464"/>
      <c r="AD572" s="1464"/>
      <c r="AE572" s="1464"/>
      <c r="AF572" s="1464"/>
      <c r="AG572" s="1464"/>
      <c r="AH572" s="1465"/>
      <c r="AK572" s="145"/>
      <c r="AL572" s="145"/>
      <c r="AM572" s="37"/>
      <c r="AN572" s="243"/>
      <c r="AP572" s="1654" t="str">
        <f t="shared" si="0"/>
        <v>1 BR</v>
      </c>
      <c r="AQ572" s="1655"/>
      <c r="AR572" s="1655"/>
      <c r="AS572" s="1655"/>
      <c r="AT572" s="1656"/>
      <c r="AU572" s="1255">
        <f t="shared" si="1"/>
        <v>0</v>
      </c>
      <c r="AV572" s="1256"/>
      <c r="AW572" s="1256"/>
      <c r="AX572" s="1256"/>
      <c r="AY572" s="1257"/>
      <c r="AZ572" s="1255">
        <f t="shared" si="2"/>
        <v>0</v>
      </c>
      <c r="BA572" s="1256"/>
      <c r="BB572" s="1256"/>
      <c r="BC572" s="1256"/>
      <c r="BD572" s="1257"/>
      <c r="BE572" s="1317">
        <f t="shared" si="3"/>
        <v>0</v>
      </c>
      <c r="BF572" s="1318"/>
      <c r="BG572" s="1318"/>
      <c r="BH572" s="1318"/>
      <c r="BI572" s="1319"/>
      <c r="BJ572" s="1144"/>
      <c r="BK572" s="1145"/>
      <c r="BL572" s="1145"/>
      <c r="BM572" s="1145"/>
      <c r="BN572" s="1146"/>
      <c r="BO572" s="1144"/>
      <c r="BP572" s="1145"/>
      <c r="BQ572" s="1145"/>
      <c r="BR572" s="1145"/>
      <c r="BS572" s="1146"/>
      <c r="BT572" s="1144"/>
      <c r="BU572" s="1145"/>
      <c r="BV572" s="1145"/>
      <c r="BW572" s="1145"/>
      <c r="BX572" s="1146"/>
      <c r="BY572" s="1144"/>
      <c r="BZ572" s="1145"/>
      <c r="CA572" s="1145"/>
      <c r="CB572" s="1145"/>
      <c r="CC572" s="1146"/>
      <c r="CD572" s="1144">
        <f>IF(AND(AND(BE569+BE570+BE571+BE568=0,BT570+BY571+BO569+BJ568=0,AP582=1)),1,0)</f>
        <v>0</v>
      </c>
      <c r="CE572" s="1145"/>
      <c r="CF572" s="1145"/>
      <c r="CG572" s="1145"/>
      <c r="CH572" s="1146"/>
      <c r="CI572" s="1144"/>
      <c r="CJ572" s="1145"/>
      <c r="CK572" s="1145"/>
      <c r="CL572" s="1145"/>
      <c r="CM572" s="1146"/>
      <c r="CN572" s="21"/>
      <c r="CO572" s="21"/>
      <c r="CP572" s="21"/>
      <c r="CQ572" s="21"/>
      <c r="CR572" s="21"/>
    </row>
    <row r="573" spans="1:96" s="4" customFormat="1" ht="12.75" customHeight="1">
      <c r="E573" s="1748"/>
      <c r="F573" s="1469"/>
      <c r="G573" s="1469"/>
      <c r="H573" s="1469"/>
      <c r="I573" s="1469"/>
      <c r="J573" s="1469"/>
      <c r="K573" s="1469"/>
      <c r="L573" s="1469"/>
      <c r="M573" s="1469"/>
      <c r="N573" s="1469"/>
      <c r="O573" s="1469"/>
      <c r="P573" s="1469"/>
      <c r="Q573" s="1469"/>
      <c r="R573" s="1469"/>
      <c r="S573" s="1469"/>
      <c r="T573" s="1469"/>
      <c r="U573" s="1469"/>
      <c r="V573" s="1469"/>
      <c r="W573" s="1469"/>
      <c r="X573" s="1469"/>
      <c r="Y573" s="1469"/>
      <c r="Z573" s="1469"/>
      <c r="AA573" s="1469"/>
      <c r="AB573" s="1469"/>
      <c r="AC573" s="1469"/>
      <c r="AD573" s="1469"/>
      <c r="AE573" s="1469"/>
      <c r="AF573" s="1469"/>
      <c r="AG573" s="1469"/>
      <c r="AH573" s="1749"/>
      <c r="AN573" s="243"/>
      <c r="AP573" s="1654" t="str">
        <f t="shared" si="0"/>
        <v>SRO</v>
      </c>
      <c r="AQ573" s="1655"/>
      <c r="AR573" s="1655"/>
      <c r="AS573" s="1655"/>
      <c r="AT573" s="1656"/>
      <c r="AU573" s="1255">
        <f t="shared" si="1"/>
        <v>43</v>
      </c>
      <c r="AV573" s="1256"/>
      <c r="AW573" s="1256"/>
      <c r="AX573" s="1256"/>
      <c r="AY573" s="1257"/>
      <c r="AZ573" s="1255">
        <f t="shared" si="2"/>
        <v>22</v>
      </c>
      <c r="BA573" s="1256"/>
      <c r="BB573" s="1256"/>
      <c r="BC573" s="1256"/>
      <c r="BD573" s="1257"/>
      <c r="BE573" s="1317">
        <f t="shared" si="3"/>
        <v>0.51162790697674421</v>
      </c>
      <c r="BF573" s="1318"/>
      <c r="BG573" s="1318"/>
      <c r="BH573" s="1318"/>
      <c r="BI573" s="1319"/>
      <c r="BJ573" s="1144"/>
      <c r="BK573" s="1145"/>
      <c r="BL573" s="1145"/>
      <c r="BM573" s="1145"/>
      <c r="BN573" s="1146"/>
      <c r="BO573" s="1144"/>
      <c r="BP573" s="1145"/>
      <c r="BQ573" s="1145"/>
      <c r="BR573" s="1145"/>
      <c r="BS573" s="1146"/>
      <c r="BT573" s="1144"/>
      <c r="BU573" s="1145"/>
      <c r="BV573" s="1145"/>
      <c r="BW573" s="1145"/>
      <c r="BX573" s="1146"/>
      <c r="BY573" s="1144"/>
      <c r="BZ573" s="1145"/>
      <c r="CA573" s="1145"/>
      <c r="CB573" s="1145"/>
      <c r="CC573" s="1146"/>
      <c r="CD573" s="1144"/>
      <c r="CE573" s="1145"/>
      <c r="CF573" s="1145"/>
      <c r="CG573" s="1145"/>
      <c r="CH573" s="1146"/>
      <c r="CI573" s="1144">
        <f>IF(AND(AND(AZ570+AZ571+AZ572+AZ569+AZ568=0,BY571+CD572+BT570+BO569+BJ568=0,AP583=1)),1,0)</f>
        <v>0</v>
      </c>
      <c r="CJ573" s="1145"/>
      <c r="CK573" s="1145"/>
      <c r="CL573" s="1145"/>
      <c r="CM573" s="1146"/>
      <c r="CN573" s="21"/>
      <c r="CO573" s="21"/>
      <c r="CP573" s="21"/>
      <c r="CQ573" s="21"/>
      <c r="CR573" s="21"/>
    </row>
    <row r="574" spans="1:96" s="4" customFormat="1" ht="12.75" customHeight="1">
      <c r="E574" s="1779" t="s">
        <v>2213</v>
      </c>
      <c r="F574" s="1780"/>
      <c r="G574" s="1780"/>
      <c r="H574" s="1780"/>
      <c r="I574" s="1780"/>
      <c r="J574" s="1781"/>
      <c r="K574" s="1779" t="s">
        <v>2214</v>
      </c>
      <c r="L574" s="1780"/>
      <c r="M574" s="1780"/>
      <c r="N574" s="1780"/>
      <c r="O574" s="1780"/>
      <c r="P574" s="1781"/>
      <c r="Q574" s="1079" t="s">
        <v>2215</v>
      </c>
      <c r="R574" s="1080"/>
      <c r="S574" s="1080"/>
      <c r="T574" s="1080"/>
      <c r="U574" s="1080"/>
      <c r="V574" s="1081"/>
      <c r="W574" s="1079" t="str">
        <f>I563</f>
        <v>Percent of Low-Income Units (exclusive of manager’s units)</v>
      </c>
      <c r="X574" s="1080"/>
      <c r="Y574" s="1080"/>
      <c r="Z574" s="1080"/>
      <c r="AA574" s="1080"/>
      <c r="AB574" s="1081"/>
      <c r="AC574" s="1079" t="s">
        <v>2216</v>
      </c>
      <c r="AD574" s="1080"/>
      <c r="AE574" s="1080"/>
      <c r="AF574" s="1080"/>
      <c r="AG574" s="1080"/>
      <c r="AH574" s="1081"/>
      <c r="AN574" s="243"/>
      <c r="AP574" s="1654" t="str">
        <f t="shared" si="0"/>
        <v>Total:</v>
      </c>
      <c r="AQ574" s="1655"/>
      <c r="AR574" s="1655"/>
      <c r="AS574" s="1655"/>
      <c r="AT574" s="1656"/>
      <c r="AU574" s="1654"/>
      <c r="AV574" s="1655"/>
      <c r="AW574" s="1655"/>
      <c r="AX574" s="1655"/>
      <c r="AY574" s="1656"/>
      <c r="AZ574" s="1654"/>
      <c r="BA574" s="1655"/>
      <c r="BB574" s="1655"/>
      <c r="BC574" s="1655"/>
      <c r="BD574" s="1656"/>
      <c r="BE574" s="1654"/>
      <c r="BF574" s="1655"/>
      <c r="BG574" s="1655"/>
      <c r="BH574" s="1655"/>
      <c r="BI574" s="1656"/>
      <c r="BJ574" s="1144">
        <f>SUM(BJ568:BN573)</f>
        <v>0</v>
      </c>
      <c r="BK574" s="1145"/>
      <c r="BL574" s="1145"/>
      <c r="BM574" s="1145"/>
      <c r="BN574" s="1146"/>
      <c r="BO574" s="1144">
        <f>SUM(BO568:BS573)</f>
        <v>0</v>
      </c>
      <c r="BP574" s="1145"/>
      <c r="BQ574" s="1145"/>
      <c r="BR574" s="1145"/>
      <c r="BS574" s="1146"/>
      <c r="BT574" s="1144">
        <f>SUM(BT568:BX573)</f>
        <v>0</v>
      </c>
      <c r="BU574" s="1145"/>
      <c r="BV574" s="1145"/>
      <c r="BW574" s="1145"/>
      <c r="BX574" s="1146"/>
      <c r="BY574" s="1144">
        <f>SUM(BY568:CC573)</f>
        <v>0</v>
      </c>
      <c r="BZ574" s="1145"/>
      <c r="CA574" s="1145"/>
      <c r="CB574" s="1145"/>
      <c r="CC574" s="1146"/>
      <c r="CD574" s="1144">
        <f>SUM(CD568:CH573)</f>
        <v>0</v>
      </c>
      <c r="CE574" s="1145"/>
      <c r="CF574" s="1145"/>
      <c r="CG574" s="1145"/>
      <c r="CH574" s="1146"/>
      <c r="CI574" s="1144">
        <f>SUM(CI568:CM573)</f>
        <v>0</v>
      </c>
      <c r="CJ574" s="1145"/>
      <c r="CK574" s="1145"/>
      <c r="CL574" s="1145"/>
      <c r="CM574" s="1146"/>
      <c r="CN574" s="1144">
        <f>SUM(BJ574:CM574)</f>
        <v>0</v>
      </c>
      <c r="CO574" s="1145"/>
      <c r="CP574" s="1145"/>
      <c r="CQ574" s="1145"/>
      <c r="CR574" s="1146"/>
    </row>
    <row r="575" spans="1:96" s="4" customFormat="1" ht="12.75" customHeight="1">
      <c r="E575" s="1782"/>
      <c r="F575" s="1783"/>
      <c r="G575" s="1783"/>
      <c r="H575" s="1783"/>
      <c r="I575" s="1783"/>
      <c r="J575" s="1784"/>
      <c r="K575" s="1782"/>
      <c r="L575" s="1783"/>
      <c r="M575" s="1783"/>
      <c r="N575" s="1783"/>
      <c r="O575" s="1783"/>
      <c r="P575" s="1784"/>
      <c r="Q575" s="1082"/>
      <c r="R575" s="1083"/>
      <c r="S575" s="1083"/>
      <c r="T575" s="1083"/>
      <c r="U575" s="1083"/>
      <c r="V575" s="1084"/>
      <c r="W575" s="1082"/>
      <c r="X575" s="1083"/>
      <c r="Y575" s="1083"/>
      <c r="Z575" s="1083"/>
      <c r="AA575" s="1083"/>
      <c r="AB575" s="1084"/>
      <c r="AC575" s="1082"/>
      <c r="AD575" s="1083"/>
      <c r="AE575" s="1083"/>
      <c r="AF575" s="1083"/>
      <c r="AG575" s="1083"/>
      <c r="AH575" s="1084"/>
      <c r="AN575" s="243"/>
    </row>
    <row r="576" spans="1:96" s="4" customFormat="1" ht="12.75" customHeight="1">
      <c r="E576" s="1782"/>
      <c r="F576" s="1783"/>
      <c r="G576" s="1783"/>
      <c r="H576" s="1783"/>
      <c r="I576" s="1783"/>
      <c r="J576" s="1784"/>
      <c r="K576" s="1782"/>
      <c r="L576" s="1783"/>
      <c r="M576" s="1783"/>
      <c r="N576" s="1783"/>
      <c r="O576" s="1783"/>
      <c r="P576" s="1784"/>
      <c r="Q576" s="1082"/>
      <c r="R576" s="1083"/>
      <c r="S576" s="1083"/>
      <c r="T576" s="1083"/>
      <c r="U576" s="1083"/>
      <c r="V576" s="1084"/>
      <c r="W576" s="1082"/>
      <c r="X576" s="1083"/>
      <c r="Y576" s="1083"/>
      <c r="Z576" s="1083"/>
      <c r="AA576" s="1083"/>
      <c r="AB576" s="1084"/>
      <c r="AC576" s="1082"/>
      <c r="AD576" s="1083"/>
      <c r="AE576" s="1083"/>
      <c r="AF576" s="1083"/>
      <c r="AG576" s="1083"/>
      <c r="AH576" s="1084"/>
      <c r="AN576" s="243"/>
    </row>
    <row r="577" spans="2:69" s="4" customFormat="1" ht="12.75" customHeight="1">
      <c r="E577" s="1782"/>
      <c r="F577" s="1783"/>
      <c r="G577" s="1783"/>
      <c r="H577" s="1783"/>
      <c r="I577" s="1783"/>
      <c r="J577" s="1784"/>
      <c r="K577" s="1782"/>
      <c r="L577" s="1783"/>
      <c r="M577" s="1783"/>
      <c r="N577" s="1783"/>
      <c r="O577" s="1783"/>
      <c r="P577" s="1784"/>
      <c r="Q577" s="1082"/>
      <c r="R577" s="1083"/>
      <c r="S577" s="1083"/>
      <c r="T577" s="1083"/>
      <c r="U577" s="1083"/>
      <c r="V577" s="1084"/>
      <c r="W577" s="1082"/>
      <c r="X577" s="1083"/>
      <c r="Y577" s="1083"/>
      <c r="Z577" s="1083"/>
      <c r="AA577" s="1083"/>
      <c r="AB577" s="1084"/>
      <c r="AC577" s="1082"/>
      <c r="AD577" s="1083"/>
      <c r="AE577" s="1083"/>
      <c r="AF577" s="1083"/>
      <c r="AG577" s="1083"/>
      <c r="AH577" s="1084"/>
      <c r="AN577" s="243"/>
      <c r="AP577" s="3" t="s">
        <v>2217</v>
      </c>
      <c r="BH577" s="3" t="s">
        <v>2218</v>
      </c>
    </row>
    <row r="578" spans="2:69" s="4" customFormat="1" ht="12.75" customHeight="1">
      <c r="E578" s="1575"/>
      <c r="F578" s="1576"/>
      <c r="G578" s="1576"/>
      <c r="H578" s="1576"/>
      <c r="I578" s="1576"/>
      <c r="J578" s="1577"/>
      <c r="K578" s="1561">
        <v>20</v>
      </c>
      <c r="L578" s="1562"/>
      <c r="M578" s="1562"/>
      <c r="N578" s="1562"/>
      <c r="O578" s="1562"/>
      <c r="P578" s="1563"/>
      <c r="Q578" s="1564">
        <f>IF(ISERROR(IF((((E578/$BJ$525)*100)&gt;100),"EXCESSIVE VALUE",(E578/$BJ$525)*100)),0,IF((((E578/$BJ$525)*100)&gt;100),"EXCESSIVE VALUE",(E578/$BJ$525)*100))</f>
        <v>0</v>
      </c>
      <c r="R578" s="1565"/>
      <c r="S578" s="1565"/>
      <c r="T578" s="1565"/>
      <c r="U578" s="1565"/>
      <c r="V578" s="1566"/>
      <c r="W578" s="1567">
        <f>IF(FLOOR(Q578,5)&gt;80,80,FLOOR(Q578,5))</f>
        <v>0</v>
      </c>
      <c r="X578" s="1568"/>
      <c r="Y578" s="1568"/>
      <c r="Z578" s="1568"/>
      <c r="AA578" s="1568"/>
      <c r="AB578" s="1569"/>
      <c r="AC578" s="1567">
        <f t="shared" ref="AC578:AC583" si="4">IFERROR(IF(W578&gt;0,INDEX($BI$504:$BP$518,MATCH(W578,$BH$504:$BH$518,0),MATCH(K578,$BI$503:$BP$503,0)),0),0)</f>
        <v>0</v>
      </c>
      <c r="AD578" s="1568"/>
      <c r="AE578" s="1568"/>
      <c r="AF578" s="1568"/>
      <c r="AG578" s="1568"/>
      <c r="AH578" s="1569"/>
      <c r="AN578" s="243"/>
      <c r="AO578" s="4">
        <v>5</v>
      </c>
      <c r="AP578" s="1561">
        <f t="shared" ref="AP578:AP583" si="5">IF(OR(BE568&gt;=0.1,BE568=0),0,1)</f>
        <v>0</v>
      </c>
      <c r="AQ578" s="1562"/>
      <c r="AR578" s="1562"/>
      <c r="AS578" s="1562"/>
      <c r="AT578" s="1563"/>
      <c r="AX578" s="1650" t="s">
        <v>2219</v>
      </c>
      <c r="AY578" s="1652"/>
      <c r="AZ578" s="1652"/>
      <c r="BA578" s="1652"/>
      <c r="BB578" s="1652"/>
      <c r="BC578" s="1652"/>
      <c r="BD578" s="1652"/>
      <c r="BE578" s="1652"/>
      <c r="BF578" s="1652"/>
      <c r="BG578" s="1652"/>
      <c r="BH578" s="1652"/>
      <c r="BI578" s="1652"/>
      <c r="BJ578" s="1652"/>
      <c r="BK578" s="1652"/>
      <c r="BL578" s="1652"/>
      <c r="BM578" s="1652"/>
      <c r="BN578" s="1652"/>
      <c r="BO578" s="1652"/>
      <c r="BP578" s="1652"/>
      <c r="BQ578" s="1651"/>
    </row>
    <row r="579" spans="2:69" s="4" customFormat="1" ht="12.75" customHeight="1">
      <c r="E579" s="1575">
        <v>22</v>
      </c>
      <c r="F579" s="1576"/>
      <c r="G579" s="1576"/>
      <c r="H579" s="1576"/>
      <c r="I579" s="1576"/>
      <c r="J579" s="1577"/>
      <c r="K579" s="1561">
        <v>30</v>
      </c>
      <c r="L579" s="1562"/>
      <c r="M579" s="1562"/>
      <c r="N579" s="1562"/>
      <c r="O579" s="1562"/>
      <c r="P579" s="1563"/>
      <c r="Q579" s="1564">
        <f t="shared" ref="Q579:Q586" si="6">IF(ISERROR(IF((((E579/$BJ$525)*100)&gt;100),"EXCESSIVE VALUE",(E579/$BJ$525)*100)),0,IF((((E579/$BJ$525)*100)&gt;100),"EXCESSIVE VALUE",(E579/$BJ$525)*100))</f>
        <v>51.162790697674424</v>
      </c>
      <c r="R579" s="1565"/>
      <c r="S579" s="1565"/>
      <c r="T579" s="1565"/>
      <c r="U579" s="1565"/>
      <c r="V579" s="1566"/>
      <c r="W579" s="1567">
        <f>IF(FLOOR(Q579,5)&gt;80,80,FLOOR(Q579,5))</f>
        <v>50</v>
      </c>
      <c r="X579" s="1568"/>
      <c r="Y579" s="1568"/>
      <c r="Z579" s="1568"/>
      <c r="AA579" s="1568"/>
      <c r="AB579" s="1569"/>
      <c r="AC579" s="1567">
        <f t="shared" si="4"/>
        <v>50</v>
      </c>
      <c r="AD579" s="1568"/>
      <c r="AE579" s="1568"/>
      <c r="AF579" s="1568"/>
      <c r="AG579" s="1568"/>
      <c r="AH579" s="1569"/>
      <c r="AN579" s="243"/>
      <c r="AO579" s="4">
        <v>4</v>
      </c>
      <c r="AP579" s="1561">
        <f t="shared" si="5"/>
        <v>0</v>
      </c>
      <c r="AQ579" s="1562"/>
      <c r="AR579" s="1562"/>
      <c r="AS579" s="1562"/>
      <c r="AT579" s="1563"/>
      <c r="AX579" s="1667" t="s">
        <v>2220</v>
      </c>
      <c r="AY579" s="1668"/>
      <c r="AZ579" s="1192" t="s">
        <v>2220</v>
      </c>
      <c r="BA579" s="1195"/>
      <c r="BB579" s="1667" t="s">
        <v>1482</v>
      </c>
      <c r="BC579" s="1668"/>
      <c r="BD579" s="1657" t="s">
        <v>1482</v>
      </c>
      <c r="BE579" s="1659"/>
      <c r="BF579" s="1667" t="s">
        <v>1481</v>
      </c>
      <c r="BG579" s="1668"/>
      <c r="BH579" s="1657" t="s">
        <v>1481</v>
      </c>
      <c r="BI579" s="1659"/>
      <c r="BJ579" s="1667" t="s">
        <v>1480</v>
      </c>
      <c r="BK579" s="1668"/>
      <c r="BL579" s="1657" t="s">
        <v>1480</v>
      </c>
      <c r="BM579" s="1659"/>
      <c r="BN579" s="1667" t="s">
        <v>933</v>
      </c>
      <c r="BO579" s="1668"/>
      <c r="BP579" s="1657" t="s">
        <v>933</v>
      </c>
      <c r="BQ579" s="1659"/>
    </row>
    <row r="580" spans="2:69" s="4" customFormat="1" ht="12.75" customHeight="1">
      <c r="E580" s="1575"/>
      <c r="F580" s="1576"/>
      <c r="G580" s="1576"/>
      <c r="H580" s="1576"/>
      <c r="I580" s="1576"/>
      <c r="J580" s="1577"/>
      <c r="K580" s="1561">
        <v>35</v>
      </c>
      <c r="L580" s="1562"/>
      <c r="M580" s="1562"/>
      <c r="N580" s="1562"/>
      <c r="O580" s="1562"/>
      <c r="P580" s="1563"/>
      <c r="Q580" s="1564">
        <f t="shared" si="6"/>
        <v>0</v>
      </c>
      <c r="R580" s="1565"/>
      <c r="S580" s="1565"/>
      <c r="T580" s="1565"/>
      <c r="U580" s="1565"/>
      <c r="V580" s="1566"/>
      <c r="W580" s="1567">
        <f t="shared" ref="W580:W586" si="7">IF(FLOOR(Q580,5)&gt;80,80,FLOOR(Q580,5))</f>
        <v>0</v>
      </c>
      <c r="X580" s="1568"/>
      <c r="Y580" s="1568"/>
      <c r="Z580" s="1568"/>
      <c r="AA580" s="1568"/>
      <c r="AB580" s="1569"/>
      <c r="AC580" s="1567">
        <f t="shared" si="4"/>
        <v>0</v>
      </c>
      <c r="AD580" s="1568"/>
      <c r="AE580" s="1568"/>
      <c r="AF580" s="1568"/>
      <c r="AG580" s="1568"/>
      <c r="AH580" s="1569"/>
      <c r="AN580" s="243"/>
      <c r="AO580" s="4">
        <v>3</v>
      </c>
      <c r="AP580" s="1561">
        <f t="shared" si="5"/>
        <v>0</v>
      </c>
      <c r="AQ580" s="1562"/>
      <c r="AR580" s="1562"/>
      <c r="AS580" s="1562"/>
      <c r="AT580" s="1563"/>
      <c r="AX580" s="1667">
        <f>IF(AP530=1,1,0)</f>
        <v>0</v>
      </c>
      <c r="AY580" s="1668"/>
      <c r="AZ580" s="1650"/>
      <c r="BA580" s="1651"/>
      <c r="BB580" s="1665"/>
      <c r="BC580" s="1666"/>
      <c r="BD580" s="1657">
        <f>IF(AND(T605&gt;0,AP530&gt;0),1,0)</f>
        <v>0</v>
      </c>
      <c r="BE580" s="1659"/>
      <c r="BF580" s="1665"/>
      <c r="BG580" s="1666"/>
      <c r="BH580" s="1657">
        <f>IF(AND(T605&gt;0,AP530&gt;0),1,0)</f>
        <v>0</v>
      </c>
      <c r="BI580" s="1659"/>
      <c r="BJ580" s="1665"/>
      <c r="BK580" s="1666"/>
      <c r="BL580" s="1657">
        <f>IF(AND(T605&gt;0,AP530&gt;0),1,0)</f>
        <v>0</v>
      </c>
      <c r="BM580" s="1659"/>
      <c r="BN580" s="1665"/>
      <c r="BO580" s="1666"/>
      <c r="BP580" s="1657">
        <f>IF(AND(T605&gt;0,AP530&gt;0),1,0)</f>
        <v>0</v>
      </c>
      <c r="BQ580" s="1659"/>
    </row>
    <row r="581" spans="2:69" s="4" customFormat="1" ht="12.75" customHeight="1">
      <c r="E581" s="1575">
        <v>0</v>
      </c>
      <c r="F581" s="1576"/>
      <c r="G581" s="1576"/>
      <c r="H581" s="1576"/>
      <c r="I581" s="1576"/>
      <c r="J581" s="1577"/>
      <c r="K581" s="1561">
        <v>40</v>
      </c>
      <c r="L581" s="1562"/>
      <c r="M581" s="1562"/>
      <c r="N581" s="1562"/>
      <c r="O581" s="1562"/>
      <c r="P581" s="1563"/>
      <c r="Q581" s="1564">
        <f t="shared" si="6"/>
        <v>0</v>
      </c>
      <c r="R581" s="1565"/>
      <c r="S581" s="1565"/>
      <c r="T581" s="1565"/>
      <c r="U581" s="1565"/>
      <c r="V581" s="1566"/>
      <c r="W581" s="1567">
        <f t="shared" si="7"/>
        <v>0</v>
      </c>
      <c r="X581" s="1568"/>
      <c r="Y581" s="1568"/>
      <c r="Z581" s="1568"/>
      <c r="AA581" s="1568"/>
      <c r="AB581" s="1569"/>
      <c r="AC581" s="1567">
        <f t="shared" si="4"/>
        <v>0</v>
      </c>
      <c r="AD581" s="1568"/>
      <c r="AE581" s="1568"/>
      <c r="AF581" s="1568"/>
      <c r="AG581" s="1568"/>
      <c r="AH581" s="1569"/>
      <c r="AN581" s="243"/>
      <c r="AO581" s="4">
        <v>2</v>
      </c>
      <c r="AP581" s="1561">
        <f t="shared" si="5"/>
        <v>0</v>
      </c>
      <c r="AQ581" s="1562"/>
      <c r="AR581" s="1562"/>
      <c r="AS581" s="1562"/>
      <c r="AT581" s="1563"/>
      <c r="AX581" s="1665"/>
      <c r="AY581" s="1666"/>
      <c r="AZ581" s="1650"/>
      <c r="BA581" s="1651"/>
      <c r="BB581" s="1667">
        <f>IF(AP531=1,1,0)</f>
        <v>0</v>
      </c>
      <c r="BC581" s="1668"/>
      <c r="BD581" s="1650"/>
      <c r="BE581" s="1651"/>
      <c r="BF581" s="1665"/>
      <c r="BG581" s="1666"/>
      <c r="BH581" s="1657">
        <f>IF(AND(T606&gt;0,AP531&gt;0),1,0)</f>
        <v>0</v>
      </c>
      <c r="BI581" s="1659"/>
      <c r="BJ581" s="1665"/>
      <c r="BK581" s="1666"/>
      <c r="BL581" s="1657">
        <f>IF(AND(T606&gt;0,AP531&gt;0),1,0)</f>
        <v>0</v>
      </c>
      <c r="BM581" s="1659"/>
      <c r="BN581" s="1665"/>
      <c r="BO581" s="1666"/>
      <c r="BP581" s="1657">
        <f>IF(AND(T606&gt;0,AP531&gt;0),1,0)</f>
        <v>0</v>
      </c>
      <c r="BQ581" s="1659"/>
    </row>
    <row r="582" spans="2:69" s="4" customFormat="1" ht="12.75" customHeight="1">
      <c r="E582" s="1575"/>
      <c r="F582" s="1576"/>
      <c r="G582" s="1576"/>
      <c r="H582" s="1576"/>
      <c r="I582" s="1576"/>
      <c r="J582" s="1577"/>
      <c r="K582" s="1561">
        <v>45</v>
      </c>
      <c r="L582" s="1562"/>
      <c r="M582" s="1562"/>
      <c r="N582" s="1562"/>
      <c r="O582" s="1562"/>
      <c r="P582" s="1563"/>
      <c r="Q582" s="1564">
        <f t="shared" si="6"/>
        <v>0</v>
      </c>
      <c r="R582" s="1565"/>
      <c r="S582" s="1565"/>
      <c r="T582" s="1565"/>
      <c r="U582" s="1565"/>
      <c r="V582" s="1566"/>
      <c r="W582" s="1567">
        <f>IF(FLOOR(Q582,5)&gt;65,65,FLOOR(Q582,5))</f>
        <v>0</v>
      </c>
      <c r="X582" s="1568"/>
      <c r="Y582" s="1568"/>
      <c r="Z582" s="1568"/>
      <c r="AA582" s="1568"/>
      <c r="AB582" s="1569"/>
      <c r="AC582" s="1567">
        <f t="shared" si="4"/>
        <v>0</v>
      </c>
      <c r="AD582" s="1568"/>
      <c r="AE582" s="1568"/>
      <c r="AF582" s="1568"/>
      <c r="AG582" s="1568"/>
      <c r="AH582" s="1569"/>
      <c r="AN582" s="243"/>
      <c r="AO582" s="4">
        <v>1</v>
      </c>
      <c r="AP582" s="1561">
        <f t="shared" si="5"/>
        <v>0</v>
      </c>
      <c r="AQ582" s="1562"/>
      <c r="AR582" s="1562"/>
      <c r="AS582" s="1562"/>
      <c r="AT582" s="1563"/>
      <c r="AX582" s="1665"/>
      <c r="AY582" s="1666"/>
      <c r="AZ582" s="1650"/>
      <c r="BA582" s="1651"/>
      <c r="BB582" s="1665"/>
      <c r="BC582" s="1666"/>
      <c r="BD582" s="1650"/>
      <c r="BE582" s="1651"/>
      <c r="BF582" s="1667">
        <f>IF(AP532=1,1,0)</f>
        <v>0</v>
      </c>
      <c r="BG582" s="1668"/>
      <c r="BH582" s="1650"/>
      <c r="BI582" s="1651"/>
      <c r="BJ582" s="1665"/>
      <c r="BK582" s="1666"/>
      <c r="BL582" s="1657">
        <f>IF(AND(T607&gt;0,AP532&gt;0),1,0)</f>
        <v>0</v>
      </c>
      <c r="BM582" s="1659"/>
      <c r="BN582" s="1665"/>
      <c r="BO582" s="1666"/>
      <c r="BP582" s="1657">
        <f>IF(AND(T607&gt;0,AP532&gt;0),1,0)</f>
        <v>0</v>
      </c>
      <c r="BQ582" s="1659"/>
    </row>
    <row r="583" spans="2:69" s="4" customFormat="1" ht="12.75" customHeight="1">
      <c r="E583" s="1575">
        <v>21</v>
      </c>
      <c r="F583" s="1576"/>
      <c r="G583" s="1576"/>
      <c r="H583" s="1576"/>
      <c r="I583" s="1576"/>
      <c r="J583" s="1577"/>
      <c r="K583" s="1561">
        <v>50</v>
      </c>
      <c r="L583" s="1562"/>
      <c r="M583" s="1562"/>
      <c r="N583" s="1562"/>
      <c r="O583" s="1562"/>
      <c r="P583" s="1563"/>
      <c r="Q583" s="1564">
        <f t="shared" si="6"/>
        <v>48.837209302325576</v>
      </c>
      <c r="R583" s="1565"/>
      <c r="S583" s="1565"/>
      <c r="T583" s="1565"/>
      <c r="U583" s="1565"/>
      <c r="V583" s="1566"/>
      <c r="W583" s="1567">
        <f>IF(FLOOR(Q583,5)&gt;40,40,FLOOR(Q583,5))</f>
        <v>40</v>
      </c>
      <c r="X583" s="1568"/>
      <c r="Y583" s="1568"/>
      <c r="Z583" s="1568"/>
      <c r="AA583" s="1568"/>
      <c r="AB583" s="1569"/>
      <c r="AC583" s="1567">
        <f t="shared" si="4"/>
        <v>20</v>
      </c>
      <c r="AD583" s="1568"/>
      <c r="AE583" s="1568"/>
      <c r="AF583" s="1568"/>
      <c r="AG583" s="1568"/>
      <c r="AH583" s="1569"/>
      <c r="AN583" s="243"/>
      <c r="AO583" s="4">
        <v>0</v>
      </c>
      <c r="AP583" s="1561">
        <f t="shared" si="5"/>
        <v>0</v>
      </c>
      <c r="AQ583" s="1562"/>
      <c r="AR583" s="1562"/>
      <c r="AS583" s="1562"/>
      <c r="AT583" s="1563"/>
      <c r="AX583" s="1665"/>
      <c r="AY583" s="1666"/>
      <c r="AZ583" s="1650"/>
      <c r="BA583" s="1651"/>
      <c r="BB583" s="1665"/>
      <c r="BC583" s="1666"/>
      <c r="BD583" s="1650"/>
      <c r="BE583" s="1651"/>
      <c r="BF583" s="1665"/>
      <c r="BG583" s="1666"/>
      <c r="BH583" s="1650"/>
      <c r="BI583" s="1651"/>
      <c r="BJ583" s="1667">
        <f>IF(AP533=1,1,0)</f>
        <v>0</v>
      </c>
      <c r="BK583" s="1668"/>
      <c r="BL583" s="1665"/>
      <c r="BM583" s="1666"/>
      <c r="BN583" s="1665"/>
      <c r="BO583" s="1666"/>
      <c r="BP583" s="1657">
        <f>IF(AND(T608&gt;0,AP533&gt;0),1,0)</f>
        <v>0</v>
      </c>
      <c r="BQ583" s="1659"/>
    </row>
    <row r="584" spans="2:69" s="4" customFormat="1" ht="12.75" customHeight="1">
      <c r="E584" s="1643"/>
      <c r="F584" s="1644"/>
      <c r="G584" s="1644"/>
      <c r="H584" s="1644"/>
      <c r="I584" s="1644"/>
      <c r="J584" s="1645"/>
      <c r="K584" s="1639">
        <f>IF(OR(Application!D211="Rural",Application!D211="Rural apportionment (Section 514)",Application!D211="Rural apportionment (Section 515)",Application!D211="Rural apportionment (HOME)",Application!D211="Rural (Native American apportionment)"),50,0)</f>
        <v>0</v>
      </c>
      <c r="L584" s="1640"/>
      <c r="M584" s="1641" t="s">
        <v>2221</v>
      </c>
      <c r="N584" s="1641"/>
      <c r="O584" s="1641"/>
      <c r="P584" s="1642"/>
      <c r="Q584" s="1564">
        <f t="shared" si="6"/>
        <v>0</v>
      </c>
      <c r="R584" s="1565"/>
      <c r="S584" s="1565"/>
      <c r="T584" s="1565"/>
      <c r="U584" s="1565"/>
      <c r="V584" s="1566"/>
      <c r="W584" s="1567">
        <f>IF(FLOOR(Q584,5)&gt;50,50,FLOOR(Q584,5))</f>
        <v>0</v>
      </c>
      <c r="X584" s="1568"/>
      <c r="Y584" s="1568"/>
      <c r="Z584" s="1568"/>
      <c r="AA584" s="1568"/>
      <c r="AB584" s="1569"/>
      <c r="AC584" s="1567">
        <f>IFERROR(IF(W584&gt;0,INDEX($AT$504:$BA$518,MATCH(W584,$AS$504:$AS$518,0),MATCH(K584,$AT$503:$BA$503,0)),0),0)</f>
        <v>0</v>
      </c>
      <c r="AD584" s="1568"/>
      <c r="AE584" s="1568"/>
      <c r="AF584" s="1568"/>
      <c r="AG584" s="1568"/>
      <c r="AH584" s="1569"/>
      <c r="AN584" s="243"/>
      <c r="AP584" s="1561"/>
      <c r="AQ584" s="1562"/>
      <c r="AR584" s="1562"/>
      <c r="AS584" s="1562"/>
      <c r="AT584" s="1563"/>
      <c r="AX584" s="1665"/>
      <c r="AY584" s="1666"/>
      <c r="AZ584" s="1650"/>
      <c r="BA584" s="1651"/>
      <c r="BB584" s="1665"/>
      <c r="BC584" s="1666"/>
      <c r="BD584" s="1650"/>
      <c r="BE584" s="1651"/>
      <c r="BF584" s="1665"/>
      <c r="BG584" s="1666"/>
      <c r="BH584" s="1650"/>
      <c r="BI584" s="1651"/>
      <c r="BJ584" s="1665"/>
      <c r="BK584" s="1666"/>
      <c r="BL584" s="1665"/>
      <c r="BM584" s="1666"/>
      <c r="BN584" s="1667">
        <f>IF(AP534=1,1,0)</f>
        <v>1</v>
      </c>
      <c r="BO584" s="1668"/>
      <c r="BP584" s="1650"/>
      <c r="BQ584" s="1651"/>
    </row>
    <row r="585" spans="2:69" s="4" customFormat="1" ht="12.75" customHeight="1">
      <c r="E585" s="1643"/>
      <c r="F585" s="1644"/>
      <c r="G585" s="1644"/>
      <c r="H585" s="1644"/>
      <c r="I585" s="1644"/>
      <c r="J585" s="1645"/>
      <c r="K585" s="1639">
        <f>IF(OR(Application!D211="Rural",Application!D211="Rural apportionment (Section 514)",Application!D211="Rural apportionment (Section 515)",Application!D211="Rural apportionment (HOME)",Application!D211="Rural (Native American apportionment)"),55,0)</f>
        <v>0</v>
      </c>
      <c r="L585" s="1640"/>
      <c r="M585" s="1641" t="s">
        <v>2221</v>
      </c>
      <c r="N585" s="1641"/>
      <c r="O585" s="1641"/>
      <c r="P585" s="1642"/>
      <c r="Q585" s="1564">
        <f t="shared" si="6"/>
        <v>0</v>
      </c>
      <c r="R585" s="1565"/>
      <c r="S585" s="1565"/>
      <c r="T585" s="1565"/>
      <c r="U585" s="1565"/>
      <c r="V585" s="1566"/>
      <c r="W585" s="1567">
        <f>IF(FLOOR(Q585,5)&gt;40,40,FLOOR(Q585,5))</f>
        <v>0</v>
      </c>
      <c r="X585" s="1568"/>
      <c r="Y585" s="1568"/>
      <c r="Z585" s="1568"/>
      <c r="AA585" s="1568"/>
      <c r="AB585" s="1569"/>
      <c r="AC585" s="1567">
        <f>IFERROR(IF(W585&gt;0,INDEX($AT$504:$BA$518,MATCH(W585,$AS$504:$AS$518,0),MATCH(K585,$AT$503:$BA$503,0)),0),0)</f>
        <v>0</v>
      </c>
      <c r="AD585" s="1568"/>
      <c r="AE585" s="1568"/>
      <c r="AF585" s="1568"/>
      <c r="AG585" s="1568"/>
      <c r="AH585" s="1569"/>
      <c r="AN585" s="243"/>
      <c r="AX585" s="1667">
        <f>SUM(AX580:AY584)</f>
        <v>0</v>
      </c>
      <c r="AY585" s="1668"/>
      <c r="AZ585" s="1657">
        <f>SUM(AZ581:BA584)</f>
        <v>0</v>
      </c>
      <c r="BA585" s="1659"/>
      <c r="BB585" s="1667">
        <f>SUM(BB581:BC584)</f>
        <v>0</v>
      </c>
      <c r="BC585" s="1668"/>
      <c r="BD585" s="1657">
        <f>SUM(BD580:BE584)</f>
        <v>0</v>
      </c>
      <c r="BE585" s="1659"/>
      <c r="BF585" s="1667">
        <f>SUM(BF582:BG584)</f>
        <v>0</v>
      </c>
      <c r="BG585" s="1668"/>
      <c r="BH585" s="1657">
        <f>SUM(BH580:BI584)</f>
        <v>0</v>
      </c>
      <c r="BI585" s="1659"/>
      <c r="BJ585" s="1667">
        <f>SUM(BJ580:BK584)</f>
        <v>0</v>
      </c>
      <c r="BK585" s="1668"/>
      <c r="BL585" s="1657">
        <f>SUM(BL580:BM584)</f>
        <v>0</v>
      </c>
      <c r="BM585" s="1659"/>
      <c r="BN585" s="1667">
        <f>SUM(BN580:BO584)</f>
        <v>1</v>
      </c>
      <c r="BO585" s="1668"/>
      <c r="BP585" s="1657">
        <f>SUM(BP580:BQ584)</f>
        <v>0</v>
      </c>
      <c r="BQ585" s="1659"/>
    </row>
    <row r="586" spans="2:69" s="4" customFormat="1" ht="12.75" customHeight="1">
      <c r="E586" s="1575"/>
      <c r="F586" s="1576"/>
      <c r="G586" s="1576"/>
      <c r="H586" s="1576"/>
      <c r="I586" s="1576"/>
      <c r="J586" s="1577"/>
      <c r="K586" s="1561" t="s">
        <v>2222</v>
      </c>
      <c r="L586" s="1562"/>
      <c r="M586" s="1562"/>
      <c r="N586" s="1562"/>
      <c r="O586" s="1562"/>
      <c r="P586" s="1563"/>
      <c r="Q586" s="1564">
        <f t="shared" si="6"/>
        <v>0</v>
      </c>
      <c r="R586" s="1565"/>
      <c r="S586" s="1565"/>
      <c r="T586" s="1565"/>
      <c r="U586" s="1565"/>
      <c r="V586" s="1566"/>
      <c r="W586" s="1567">
        <f t="shared" si="7"/>
        <v>0</v>
      </c>
      <c r="X586" s="1568"/>
      <c r="Y586" s="1568"/>
      <c r="Z586" s="1568"/>
      <c r="AA586" s="1568"/>
      <c r="AB586" s="1569"/>
      <c r="AC586" s="1567">
        <v>0</v>
      </c>
      <c r="AD586" s="1568"/>
      <c r="AE586" s="1568"/>
      <c r="AF586" s="1568"/>
      <c r="AG586" s="1568"/>
      <c r="AH586" s="1569"/>
      <c r="AN586" s="243"/>
      <c r="AX586" s="1662">
        <f>IF(AND(AX585=1,AZ585&gt;1),1,0)</f>
        <v>0</v>
      </c>
      <c r="AY586" s="1663"/>
      <c r="AZ586" s="1663"/>
      <c r="BA586" s="1664"/>
      <c r="BB586" s="1662">
        <f>IF(AND(BB585=1,BD585&gt;=1),1,0)</f>
        <v>0</v>
      </c>
      <c r="BC586" s="1663"/>
      <c r="BD586" s="1663"/>
      <c r="BE586" s="1664"/>
      <c r="BF586" s="1662">
        <f>IF(AND(BF585=1,BH585&gt;=1),1,0)</f>
        <v>0</v>
      </c>
      <c r="BG586" s="1663"/>
      <c r="BH586" s="1663"/>
      <c r="BI586" s="1664"/>
      <c r="BJ586" s="1662">
        <f>IF(AND(BJ585=1,BL585&gt;=1),1,0)</f>
        <v>0</v>
      </c>
      <c r="BK586" s="1663"/>
      <c r="BL586" s="1663"/>
      <c r="BM586" s="1664"/>
      <c r="BN586" s="1662">
        <f>IF(AND(BN585=1,BP585&gt;=1),1,0)</f>
        <v>0</v>
      </c>
      <c r="BO586" s="1663"/>
      <c r="BP586" s="1663"/>
      <c r="BQ586" s="1664"/>
    </row>
    <row r="587" spans="2:69" s="4" customFormat="1" ht="12.75" customHeight="1">
      <c r="E587" s="852"/>
      <c r="F587" s="853"/>
      <c r="G587" s="853"/>
      <c r="H587" s="853"/>
      <c r="I587" s="853"/>
      <c r="J587" s="854"/>
      <c r="K587" s="1561" t="s">
        <v>2223</v>
      </c>
      <c r="L587" s="1562"/>
      <c r="M587" s="1562"/>
      <c r="N587" s="1562"/>
      <c r="O587" s="1562"/>
      <c r="P587" s="1563"/>
      <c r="Q587" s="1564">
        <f>IF(ISERROR(IF((((E587/$BJ$525)*100)&gt;100),"EXCESSIVE VALUE",(E587/$BJ$525)*100)),0,IF((((E587/$BJ$525)*100)&gt;100),"EXCESSIVE VALUE",(E587/$BJ$525)*100))</f>
        <v>0</v>
      </c>
      <c r="R587" s="1565"/>
      <c r="S587" s="1565"/>
      <c r="T587" s="1565"/>
      <c r="U587" s="1565"/>
      <c r="V587" s="1566"/>
      <c r="W587" s="1567">
        <f>IF(FLOOR(Q587,5)&gt;80,80,FLOOR(Q587,5))</f>
        <v>0</v>
      </c>
      <c r="X587" s="1568"/>
      <c r="Y587" s="1568"/>
      <c r="Z587" s="1568"/>
      <c r="AA587" s="1568"/>
      <c r="AB587" s="1569"/>
      <c r="AC587" s="1567">
        <v>0</v>
      </c>
      <c r="AD587" s="1568"/>
      <c r="AE587" s="1568"/>
      <c r="AF587" s="1568"/>
      <c r="AG587" s="1568"/>
      <c r="AH587" s="1569"/>
      <c r="AN587" s="243"/>
      <c r="AX587"/>
      <c r="AY587"/>
      <c r="AZ587"/>
      <c r="BA587"/>
      <c r="BB587"/>
      <c r="BC587"/>
      <c r="BD587"/>
      <c r="BE587"/>
      <c r="BF587"/>
      <c r="BG587"/>
      <c r="BH587"/>
      <c r="BI587" s="31" t="s">
        <v>1596</v>
      </c>
      <c r="BJ587" s="1662">
        <f>AX586+BB586+BF586+BJ586+BN586</f>
        <v>0</v>
      </c>
      <c r="BK587" s="1663"/>
      <c r="BL587" s="1663"/>
      <c r="BM587" s="1664"/>
      <c r="BN587"/>
      <c r="BO587"/>
      <c r="BP587"/>
      <c r="BQ587"/>
    </row>
    <row r="588" spans="2:69" s="4" customFormat="1" ht="12.75" customHeight="1">
      <c r="E588" s="852"/>
      <c r="F588" s="853"/>
      <c r="G588" s="853"/>
      <c r="H588" s="853"/>
      <c r="I588" s="853"/>
      <c r="J588" s="854"/>
      <c r="K588" s="1561" t="s">
        <v>2224</v>
      </c>
      <c r="L588" s="1562"/>
      <c r="M588" s="1562"/>
      <c r="N588" s="1562"/>
      <c r="O588" s="1562"/>
      <c r="P588" s="1563"/>
      <c r="Q588" s="1564">
        <f>IF(ISERROR(IF((((E588/$BJ$525)*100)&gt;100),"EXCESSIVE VALUE",(E588/$BJ$525)*100)),0,IF((((E588/$BJ$525)*100)&gt;100),"EXCESSIVE VALUE",(E588/$BJ$525)*100))</f>
        <v>0</v>
      </c>
      <c r="R588" s="1565"/>
      <c r="S588" s="1565"/>
      <c r="T588" s="1565"/>
      <c r="U588" s="1565"/>
      <c r="V588" s="1566"/>
      <c r="W588" s="1567">
        <f>IF(FLOOR(Q588,5)&gt;80,80,FLOOR(Q588,5))</f>
        <v>0</v>
      </c>
      <c r="X588" s="1568"/>
      <c r="Y588" s="1568"/>
      <c r="Z588" s="1568"/>
      <c r="AA588" s="1568"/>
      <c r="AB588" s="1569"/>
      <c r="AC588" s="1567">
        <v>0</v>
      </c>
      <c r="AD588" s="1568"/>
      <c r="AE588" s="1568"/>
      <c r="AF588" s="1568"/>
      <c r="AG588" s="1568"/>
      <c r="AH588" s="1569"/>
      <c r="AN588" s="243"/>
      <c r="AX588"/>
      <c r="AY588"/>
      <c r="AZ588"/>
      <c r="BA588"/>
      <c r="BB588"/>
      <c r="BC588"/>
      <c r="BD588"/>
      <c r="BE588"/>
      <c r="BF588"/>
      <c r="BG588"/>
      <c r="BI588"/>
      <c r="BJ588" t="s">
        <v>2225</v>
      </c>
      <c r="BK588"/>
      <c r="BL588"/>
      <c r="BM588"/>
      <c r="BN588"/>
      <c r="BO588"/>
      <c r="BP588"/>
      <c r="BQ588"/>
    </row>
    <row r="589" spans="2:69" s="4" customFormat="1" ht="12.75" customHeight="1">
      <c r="E589" s="1209">
        <f>SUM(E578:J588)</f>
        <v>43</v>
      </c>
      <c r="F589" s="1210"/>
      <c r="G589" s="1210"/>
      <c r="H589" s="1210"/>
      <c r="I589" s="1210"/>
      <c r="J589" s="1211"/>
      <c r="K589" s="340"/>
      <c r="L589" s="340"/>
      <c r="M589" s="340"/>
      <c r="N589" s="340"/>
      <c r="O589" s="340"/>
      <c r="P589" s="340"/>
      <c r="Q589" s="340"/>
      <c r="R589" s="340"/>
      <c r="S589" s="340"/>
      <c r="T589" s="340"/>
      <c r="U589" s="77"/>
      <c r="V589" s="77"/>
      <c r="W589" s="77"/>
      <c r="X589" s="77"/>
      <c r="Y589" s="77"/>
      <c r="Z589" s="340"/>
      <c r="AA589" s="77"/>
      <c r="AB589" s="53" t="s">
        <v>2226</v>
      </c>
      <c r="AC589" s="1750">
        <f>IF(SUM(AC578:AH588)&gt;0,SUM(AC578:AH588),0)</f>
        <v>70</v>
      </c>
      <c r="AD589" s="1751"/>
      <c r="AE589" s="1751"/>
      <c r="AF589" s="1751"/>
      <c r="AG589" s="1751"/>
      <c r="AH589" s="1752"/>
      <c r="AK589" s="37"/>
      <c r="AL589" s="37"/>
      <c r="AM589" s="30"/>
      <c r="AN589" s="243"/>
    </row>
    <row r="590" spans="2:69" s="4" customFormat="1" ht="12.75" customHeight="1">
      <c r="E590" s="269"/>
      <c r="F590" s="828"/>
      <c r="G590" s="828"/>
      <c r="H590" s="828"/>
      <c r="I590" s="828"/>
      <c r="J590" s="828"/>
      <c r="K590" s="37"/>
      <c r="L590" s="37"/>
      <c r="M590" s="37"/>
      <c r="N590" s="37"/>
      <c r="O590" s="37"/>
      <c r="P590" s="37"/>
      <c r="Q590" s="37"/>
      <c r="R590" s="37"/>
      <c r="S590" s="37"/>
      <c r="T590" s="37"/>
      <c r="Z590" s="37"/>
      <c r="AB590" s="55"/>
      <c r="AC590" s="268"/>
      <c r="AD590" s="268"/>
      <c r="AE590" s="268"/>
      <c r="AF590" s="268"/>
      <c r="AG590" s="268"/>
      <c r="AH590" s="268"/>
      <c r="AK590" s="37"/>
      <c r="AL590" s="37"/>
      <c r="AM590" s="30"/>
      <c r="AN590" s="243"/>
    </row>
    <row r="591" spans="2:69" s="4" customFormat="1" ht="12.75" customHeight="1">
      <c r="AK591" s="37"/>
      <c r="AL591" s="37"/>
      <c r="AM591" s="37"/>
      <c r="AN591" s="243"/>
    </row>
    <row r="592" spans="2:69" s="4" customFormat="1" ht="12.75" customHeight="1">
      <c r="B592" s="107" t="s">
        <v>2227</v>
      </c>
      <c r="AG592" s="1593" t="s">
        <v>1928</v>
      </c>
      <c r="AH592" s="1593"/>
      <c r="AI592" s="1593"/>
      <c r="AJ592" s="1593"/>
      <c r="AK592" s="37"/>
      <c r="AL592" s="37"/>
      <c r="AM592" s="37"/>
      <c r="AN592" s="243"/>
    </row>
    <row r="593" spans="1:60" s="4" customFormat="1" ht="12.75" customHeight="1">
      <c r="B593" s="1773" t="s">
        <v>2228</v>
      </c>
      <c r="C593" s="1773"/>
      <c r="D593" s="1773"/>
      <c r="E593" s="1773"/>
      <c r="F593" s="1773"/>
      <c r="G593" s="1773"/>
      <c r="H593" s="1773"/>
      <c r="I593" s="1773"/>
      <c r="J593" s="1773"/>
      <c r="K593" s="1773"/>
      <c r="L593" s="1773"/>
      <c r="M593" s="1773"/>
      <c r="N593" s="1773"/>
      <c r="O593" s="1773"/>
      <c r="P593" s="1773"/>
      <c r="Q593" s="1773"/>
      <c r="R593" s="1773"/>
      <c r="S593" s="1773"/>
      <c r="T593" s="1773"/>
      <c r="U593" s="1773"/>
      <c r="V593" s="1773"/>
      <c r="W593" s="1773"/>
      <c r="X593" s="1773"/>
      <c r="Y593" s="1773"/>
      <c r="Z593" s="1773"/>
      <c r="AA593" s="1773"/>
      <c r="AB593" s="1773"/>
      <c r="AC593" s="1773"/>
      <c r="AD593" s="1773"/>
      <c r="AE593" s="1773"/>
      <c r="AF593" s="1773"/>
      <c r="AG593" s="1773"/>
      <c r="AH593" s="1773"/>
      <c r="AI593" s="21"/>
      <c r="AJ593" s="21"/>
      <c r="AK593"/>
      <c r="AL593"/>
      <c r="AM593"/>
      <c r="AN593" s="243"/>
    </row>
    <row r="594" spans="1:60" s="4" customFormat="1" ht="12.75" customHeight="1">
      <c r="A594" s="21"/>
      <c r="B594" s="1773"/>
      <c r="C594" s="1773"/>
      <c r="D594" s="1773"/>
      <c r="E594" s="1773"/>
      <c r="F594" s="1773"/>
      <c r="G594" s="1773"/>
      <c r="H594" s="1773"/>
      <c r="I594" s="1773"/>
      <c r="J594" s="1773"/>
      <c r="K594" s="1773"/>
      <c r="L594" s="1773"/>
      <c r="M594" s="1773"/>
      <c r="N594" s="1773"/>
      <c r="O594" s="1773"/>
      <c r="P594" s="1773"/>
      <c r="Q594" s="1773"/>
      <c r="R594" s="1773"/>
      <c r="S594" s="1773"/>
      <c r="T594" s="1773"/>
      <c r="U594" s="1773"/>
      <c r="V594" s="1773"/>
      <c r="W594" s="1773"/>
      <c r="X594" s="1773"/>
      <c r="Y594" s="1773"/>
      <c r="Z594" s="1773"/>
      <c r="AA594" s="1773"/>
      <c r="AB594" s="1773"/>
      <c r="AC594" s="1773"/>
      <c r="AD594" s="1773"/>
      <c r="AE594" s="1773"/>
      <c r="AF594" s="1773"/>
      <c r="AG594" s="1773"/>
      <c r="AH594" s="1773"/>
      <c r="AI594" s="21"/>
      <c r="AJ594" s="21"/>
      <c r="AK594"/>
      <c r="AL594"/>
      <c r="AM594"/>
      <c r="AN594" s="243"/>
    </row>
    <row r="595" spans="1:60" s="4" customFormat="1" ht="12.75" customHeight="1">
      <c r="A595" s="21"/>
      <c r="B595" s="1773"/>
      <c r="C595" s="1773"/>
      <c r="D595" s="1773"/>
      <c r="E595" s="1773"/>
      <c r="F595" s="1773"/>
      <c r="G595" s="1773"/>
      <c r="H595" s="1773"/>
      <c r="I595" s="1773"/>
      <c r="J595" s="1773"/>
      <c r="K595" s="1773"/>
      <c r="L595" s="1773"/>
      <c r="M595" s="1773"/>
      <c r="N595" s="1773"/>
      <c r="O595" s="1773"/>
      <c r="P595" s="1773"/>
      <c r="Q595" s="1773"/>
      <c r="R595" s="1773"/>
      <c r="S595" s="1773"/>
      <c r="T595" s="1773"/>
      <c r="U595" s="1773"/>
      <c r="V595" s="1773"/>
      <c r="W595" s="1773"/>
      <c r="X595" s="1773"/>
      <c r="Y595" s="1773"/>
      <c r="Z595" s="1773"/>
      <c r="AA595" s="1773"/>
      <c r="AB595" s="1773"/>
      <c r="AC595" s="1773"/>
      <c r="AD595" s="1773"/>
      <c r="AE595" s="1773"/>
      <c r="AF595" s="1773"/>
      <c r="AG595" s="1773"/>
      <c r="AH595" s="1773"/>
      <c r="AI595" s="21"/>
      <c r="AJ595" s="21"/>
      <c r="AK595"/>
      <c r="AL595"/>
      <c r="AM595"/>
      <c r="AN595" s="243"/>
    </row>
    <row r="596" spans="1:60" s="4" customFormat="1" ht="12.75" customHeight="1">
      <c r="A596" s="21"/>
      <c r="B596" s="1773"/>
      <c r="C596" s="1773"/>
      <c r="D596" s="1773"/>
      <c r="E596" s="1773"/>
      <c r="F596" s="1773"/>
      <c r="G596" s="1773"/>
      <c r="H596" s="1773"/>
      <c r="I596" s="1773"/>
      <c r="J596" s="1773"/>
      <c r="K596" s="1773"/>
      <c r="L596" s="1773"/>
      <c r="M596" s="1773"/>
      <c r="N596" s="1773"/>
      <c r="O596" s="1773"/>
      <c r="P596" s="1773"/>
      <c r="Q596" s="1773"/>
      <c r="R596" s="1773"/>
      <c r="S596" s="1773"/>
      <c r="T596" s="1773"/>
      <c r="U596" s="1773"/>
      <c r="V596" s="1773"/>
      <c r="W596" s="1773"/>
      <c r="X596" s="1773"/>
      <c r="Y596" s="1773"/>
      <c r="Z596" s="1773"/>
      <c r="AA596" s="1773"/>
      <c r="AB596" s="1773"/>
      <c r="AC596" s="1773"/>
      <c r="AD596" s="1773"/>
      <c r="AE596" s="1773"/>
      <c r="AF596" s="1773"/>
      <c r="AG596" s="1773"/>
      <c r="AH596" s="1773"/>
      <c r="AI596" s="21"/>
      <c r="AJ596" s="21"/>
      <c r="AK596"/>
      <c r="AL596"/>
      <c r="AM596"/>
      <c r="AN596" s="583"/>
    </row>
    <row r="597" spans="1:60">
      <c r="B597" s="1773"/>
      <c r="C597" s="1773"/>
      <c r="D597" s="1773"/>
      <c r="E597" s="1773"/>
      <c r="F597" s="1773"/>
      <c r="G597" s="1773"/>
      <c r="H597" s="1773"/>
      <c r="I597" s="1773"/>
      <c r="J597" s="1773"/>
      <c r="K597" s="1773"/>
      <c r="L597" s="1773"/>
      <c r="M597" s="1773"/>
      <c r="N597" s="1773"/>
      <c r="O597" s="1773"/>
      <c r="P597" s="1773"/>
      <c r="Q597" s="1773"/>
      <c r="R597" s="1773"/>
      <c r="S597" s="1773"/>
      <c r="T597" s="1773"/>
      <c r="U597" s="1773"/>
      <c r="V597" s="1773"/>
      <c r="W597" s="1773"/>
      <c r="X597" s="1773"/>
      <c r="Y597" s="1773"/>
      <c r="Z597" s="1773"/>
      <c r="AA597" s="1773"/>
      <c r="AB597" s="1773"/>
      <c r="AC597" s="1773"/>
      <c r="AD597" s="1773"/>
      <c r="AE597" s="1773"/>
      <c r="AF597" s="1773"/>
      <c r="AG597" s="1773"/>
      <c r="AH597" s="1773"/>
      <c r="AK597"/>
      <c r="AL597"/>
      <c r="AM597"/>
      <c r="BD597" s="21"/>
      <c r="BE597" s="21"/>
      <c r="BF597" s="21"/>
      <c r="BG597" s="21"/>
      <c r="BH597" s="21"/>
    </row>
    <row r="598" spans="1:60" ht="12.75" customHeight="1">
      <c r="B598" s="1773"/>
      <c r="C598" s="1773"/>
      <c r="D598" s="1773"/>
      <c r="E598" s="1773"/>
      <c r="F598" s="1773"/>
      <c r="G598" s="1773"/>
      <c r="H598" s="1773"/>
      <c r="I598" s="1773"/>
      <c r="J598" s="1773"/>
      <c r="K598" s="1773"/>
      <c r="L598" s="1773"/>
      <c r="M598" s="1773"/>
      <c r="N598" s="1773"/>
      <c r="O598" s="1773"/>
      <c r="P598" s="1773"/>
      <c r="Q598" s="1773"/>
      <c r="R598" s="1773"/>
      <c r="S598" s="1773"/>
      <c r="T598" s="1773"/>
      <c r="U598" s="1773"/>
      <c r="V598" s="1773"/>
      <c r="W598" s="1773"/>
      <c r="X598" s="1773"/>
      <c r="Y598" s="1773"/>
      <c r="Z598" s="1773"/>
      <c r="AA598" s="1773"/>
      <c r="AB598" s="1773"/>
      <c r="AC598" s="1773"/>
      <c r="AD598" s="1773"/>
      <c r="AE598" s="1773"/>
      <c r="AF598" s="1773"/>
      <c r="AG598" s="1773"/>
      <c r="AH598" s="1773"/>
    </row>
    <row r="599" spans="1:60" ht="12.75" customHeight="1">
      <c r="E599" s="140"/>
    </row>
    <row r="600" spans="1:60">
      <c r="J600" s="1702" t="s">
        <v>2229</v>
      </c>
      <c r="K600" s="1703"/>
      <c r="L600" s="1703"/>
      <c r="M600" s="1703"/>
      <c r="N600" s="1704"/>
      <c r="O600" s="1079" t="s">
        <v>2230</v>
      </c>
      <c r="P600" s="1080"/>
      <c r="Q600" s="1080"/>
      <c r="R600" s="1080"/>
      <c r="S600" s="1081"/>
      <c r="T600" s="1079" t="s">
        <v>2231</v>
      </c>
      <c r="U600" s="1080"/>
      <c r="V600" s="1080"/>
      <c r="W600" s="1080"/>
      <c r="X600" s="1081"/>
      <c r="Y600" s="1079" t="s">
        <v>2232</v>
      </c>
      <c r="Z600" s="1080"/>
      <c r="AA600" s="1080"/>
      <c r="AB600" s="1080"/>
      <c r="AC600" s="1081"/>
      <c r="AF600"/>
      <c r="AG600"/>
      <c r="AH600"/>
      <c r="AI600"/>
      <c r="AJ600"/>
    </row>
    <row r="601" spans="1:60">
      <c r="D601"/>
      <c r="E601"/>
      <c r="F601"/>
      <c r="G601"/>
      <c r="H601"/>
      <c r="I601"/>
      <c r="J601" s="1705"/>
      <c r="K601" s="1706"/>
      <c r="L601" s="1706"/>
      <c r="M601" s="1706"/>
      <c r="N601" s="1707"/>
      <c r="O601" s="1082"/>
      <c r="P601" s="1083"/>
      <c r="Q601" s="1083"/>
      <c r="R601" s="1083"/>
      <c r="S601" s="1084"/>
      <c r="T601" s="1082"/>
      <c r="U601" s="1083"/>
      <c r="V601" s="1083"/>
      <c r="W601" s="1083"/>
      <c r="X601" s="1084"/>
      <c r="Y601" s="1082"/>
      <c r="Z601" s="1083"/>
      <c r="AA601" s="1083"/>
      <c r="AB601" s="1083"/>
      <c r="AC601" s="1084"/>
      <c r="AF601"/>
      <c r="AG601"/>
      <c r="AH601"/>
      <c r="AI601"/>
      <c r="AJ601"/>
    </row>
    <row r="602" spans="1:60">
      <c r="I602"/>
      <c r="J602" s="1705"/>
      <c r="K602" s="1706"/>
      <c r="L602" s="1706"/>
      <c r="M602" s="1706"/>
      <c r="N602" s="1707"/>
      <c r="O602" s="1082"/>
      <c r="P602" s="1083"/>
      <c r="Q602" s="1083"/>
      <c r="R602" s="1083"/>
      <c r="S602" s="1084"/>
      <c r="T602" s="1082"/>
      <c r="U602" s="1083"/>
      <c r="V602" s="1083"/>
      <c r="W602" s="1083"/>
      <c r="X602" s="1084"/>
      <c r="Y602" s="1082"/>
      <c r="Z602" s="1083"/>
      <c r="AA602" s="1083"/>
      <c r="AB602" s="1083"/>
      <c r="AC602" s="1084"/>
      <c r="AD602"/>
      <c r="AF602"/>
      <c r="AG602"/>
      <c r="AH602"/>
      <c r="AI602"/>
      <c r="AJ602"/>
    </row>
    <row r="603" spans="1:60">
      <c r="D603"/>
      <c r="E603"/>
      <c r="F603"/>
      <c r="G603"/>
      <c r="H603"/>
      <c r="I603"/>
      <c r="J603" s="1705"/>
      <c r="K603" s="1706"/>
      <c r="L603" s="1706"/>
      <c r="M603" s="1706"/>
      <c r="N603" s="1707"/>
      <c r="O603" s="1082"/>
      <c r="P603" s="1083"/>
      <c r="Q603" s="1083"/>
      <c r="R603" s="1083"/>
      <c r="S603" s="1084"/>
      <c r="T603" s="1082"/>
      <c r="U603" s="1083"/>
      <c r="V603" s="1083"/>
      <c r="W603" s="1083"/>
      <c r="X603" s="1084"/>
      <c r="Y603" s="1082"/>
      <c r="Z603" s="1083"/>
      <c r="AA603" s="1083"/>
      <c r="AB603" s="1083"/>
      <c r="AC603" s="1084"/>
      <c r="AD603"/>
      <c r="AF603"/>
      <c r="AG603"/>
      <c r="AH603"/>
      <c r="AI603"/>
      <c r="AJ603"/>
    </row>
    <row r="604" spans="1:60">
      <c r="D604"/>
      <c r="E604"/>
      <c r="F604"/>
      <c r="G604"/>
      <c r="H604"/>
      <c r="I604"/>
      <c r="J604" s="1627" t="s">
        <v>2233</v>
      </c>
      <c r="K604" s="1628"/>
      <c r="L604" s="1628"/>
      <c r="M604" s="1628"/>
      <c r="N604" s="1629"/>
      <c r="O604" s="1561">
        <f>Application!CM613</f>
        <v>0</v>
      </c>
      <c r="P604" s="1562"/>
      <c r="Q604" s="1562"/>
      <c r="R604" s="1562"/>
      <c r="S604" s="1563"/>
      <c r="T604" s="1561">
        <f>Application!DR614</f>
        <v>0</v>
      </c>
      <c r="U604" s="1562"/>
      <c r="V604" s="1562"/>
      <c r="W604" s="1562"/>
      <c r="X604" s="1563"/>
      <c r="Y604" s="1630">
        <f t="shared" ref="Y604:Y609" si="8">IF(T604&gt;0,T604/O604,0)</f>
        <v>0</v>
      </c>
      <c r="Z604" s="1631"/>
      <c r="AA604" s="1631"/>
      <c r="AB604" s="1631"/>
      <c r="AC604" s="1632"/>
      <c r="AD604"/>
      <c r="AF604"/>
      <c r="AG604"/>
      <c r="AH604"/>
      <c r="AI604"/>
      <c r="AJ604"/>
    </row>
    <row r="605" spans="1:60">
      <c r="D605"/>
      <c r="E605"/>
      <c r="F605"/>
      <c r="G605"/>
      <c r="H605"/>
      <c r="I605"/>
      <c r="J605" s="1627" t="s">
        <v>1483</v>
      </c>
      <c r="K605" s="1628"/>
      <c r="L605" s="1628"/>
      <c r="M605" s="1628"/>
      <c r="N605" s="1629"/>
      <c r="O605" s="1561">
        <f>Application!CH613</f>
        <v>0</v>
      </c>
      <c r="P605" s="1562"/>
      <c r="Q605" s="1562"/>
      <c r="R605" s="1562"/>
      <c r="S605" s="1563"/>
      <c r="T605" s="1561">
        <f>Application!DM614</f>
        <v>0</v>
      </c>
      <c r="U605" s="1562"/>
      <c r="V605" s="1562"/>
      <c r="W605" s="1562"/>
      <c r="X605" s="1563"/>
      <c r="Y605" s="1630">
        <f t="shared" si="8"/>
        <v>0</v>
      </c>
      <c r="Z605" s="1631"/>
      <c r="AA605" s="1631"/>
      <c r="AB605" s="1631"/>
      <c r="AC605" s="1632"/>
      <c r="AD605"/>
      <c r="AF605"/>
      <c r="AG605"/>
      <c r="AH605"/>
      <c r="AI605"/>
      <c r="AJ605"/>
      <c r="AO605" s="4"/>
    </row>
    <row r="606" spans="1:60">
      <c r="D606"/>
      <c r="E606"/>
      <c r="F606"/>
      <c r="G606"/>
      <c r="H606"/>
      <c r="I606"/>
      <c r="J606" s="1627" t="s">
        <v>1482</v>
      </c>
      <c r="K606" s="1628"/>
      <c r="L606" s="1628"/>
      <c r="M606" s="1628"/>
      <c r="N606" s="1629"/>
      <c r="O606" s="1561">
        <f>Application!CC613</f>
        <v>0</v>
      </c>
      <c r="P606" s="1562"/>
      <c r="Q606" s="1562"/>
      <c r="R606" s="1562"/>
      <c r="S606" s="1563"/>
      <c r="T606" s="1561">
        <f>Application!DH614</f>
        <v>0</v>
      </c>
      <c r="U606" s="1562"/>
      <c r="V606" s="1562"/>
      <c r="W606" s="1562"/>
      <c r="X606" s="1563"/>
      <c r="Y606" s="1630">
        <f t="shared" si="8"/>
        <v>0</v>
      </c>
      <c r="Z606" s="1631"/>
      <c r="AA606" s="1631"/>
      <c r="AB606" s="1631"/>
      <c r="AC606" s="1632"/>
      <c r="AD606"/>
      <c r="AF606"/>
      <c r="AG606"/>
      <c r="AH606"/>
      <c r="AI606"/>
      <c r="AJ606"/>
    </row>
    <row r="607" spans="1:60">
      <c r="D607"/>
      <c r="E607"/>
      <c r="F607"/>
      <c r="G607"/>
      <c r="H607"/>
      <c r="I607"/>
      <c r="J607" s="1627" t="s">
        <v>1481</v>
      </c>
      <c r="K607" s="1628"/>
      <c r="L607" s="1628"/>
      <c r="M607" s="1628"/>
      <c r="N607" s="1629"/>
      <c r="O607" s="1561">
        <f>Application!BX613</f>
        <v>0</v>
      </c>
      <c r="P607" s="1562"/>
      <c r="Q607" s="1562"/>
      <c r="R607" s="1562"/>
      <c r="S607" s="1563"/>
      <c r="T607" s="1561">
        <f>Application!DC614</f>
        <v>0</v>
      </c>
      <c r="U607" s="1562"/>
      <c r="V607" s="1562"/>
      <c r="W607" s="1562"/>
      <c r="X607" s="1563"/>
      <c r="Y607" s="1630">
        <f t="shared" si="8"/>
        <v>0</v>
      </c>
      <c r="Z607" s="1631"/>
      <c r="AA607" s="1631"/>
      <c r="AB607" s="1631"/>
      <c r="AC607" s="1632"/>
      <c r="AD607"/>
      <c r="AF607"/>
      <c r="AG607"/>
      <c r="AH607"/>
      <c r="AI607"/>
      <c r="AJ607"/>
    </row>
    <row r="608" spans="1:60">
      <c r="D608"/>
      <c r="E608"/>
      <c r="F608"/>
      <c r="G608"/>
      <c r="H608"/>
      <c r="I608"/>
      <c r="J608" s="1627" t="s">
        <v>1480</v>
      </c>
      <c r="K608" s="1628"/>
      <c r="L608" s="1628"/>
      <c r="M608" s="1628"/>
      <c r="N608" s="1629"/>
      <c r="O608" s="1561">
        <f>Application!BS613</f>
        <v>0</v>
      </c>
      <c r="P608" s="1562"/>
      <c r="Q608" s="1562"/>
      <c r="R608" s="1562"/>
      <c r="S608" s="1563"/>
      <c r="T608" s="1561">
        <f>Application!CX614</f>
        <v>0</v>
      </c>
      <c r="U608" s="1562"/>
      <c r="V608" s="1562"/>
      <c r="W608" s="1562"/>
      <c r="X608" s="1563"/>
      <c r="Y608" s="1630">
        <f t="shared" si="8"/>
        <v>0</v>
      </c>
      <c r="Z608" s="1631"/>
      <c r="AA608" s="1631"/>
      <c r="AB608" s="1631"/>
      <c r="AC608" s="1632"/>
      <c r="AD608"/>
      <c r="AF608"/>
      <c r="AG608"/>
      <c r="AH608"/>
      <c r="AI608"/>
      <c r="AJ608"/>
    </row>
    <row r="609" spans="1:60">
      <c r="D609"/>
      <c r="E609"/>
      <c r="F609"/>
      <c r="G609"/>
      <c r="H609"/>
      <c r="I609"/>
      <c r="J609" s="1627" t="s">
        <v>933</v>
      </c>
      <c r="K609" s="1628"/>
      <c r="L609" s="1628"/>
      <c r="M609" s="1628"/>
      <c r="N609" s="1629"/>
      <c r="O609" s="1561">
        <f>Application!BN613</f>
        <v>43</v>
      </c>
      <c r="P609" s="1562"/>
      <c r="Q609" s="1562"/>
      <c r="R609" s="1562"/>
      <c r="S609" s="1563"/>
      <c r="T609" s="1561">
        <f>Application!CS614</f>
        <v>22</v>
      </c>
      <c r="U609" s="1562"/>
      <c r="V609" s="1562"/>
      <c r="W609" s="1562"/>
      <c r="X609" s="1563"/>
      <c r="Y609" s="1630">
        <f t="shared" si="8"/>
        <v>0.51162790697674421</v>
      </c>
      <c r="Z609" s="1631"/>
      <c r="AA609" s="1631"/>
      <c r="AB609" s="1631"/>
      <c r="AC609" s="1632"/>
      <c r="AD609"/>
      <c r="AF609"/>
      <c r="AG609"/>
      <c r="AH609"/>
      <c r="AI609"/>
      <c r="AJ609"/>
    </row>
    <row r="610" spans="1:60">
      <c r="D610"/>
      <c r="E610"/>
      <c r="F610"/>
      <c r="G610"/>
      <c r="H610"/>
      <c r="I610"/>
      <c r="J610" s="1487" t="s">
        <v>1454</v>
      </c>
      <c r="K610" s="1488"/>
      <c r="L610" s="1488"/>
      <c r="M610" s="1488"/>
      <c r="N610" s="1489"/>
      <c r="O610" s="1718">
        <f>SUM(O604:S609)</f>
        <v>43</v>
      </c>
      <c r="P610" s="1719"/>
      <c r="Q610" s="1719"/>
      <c r="R610" s="1719"/>
      <c r="S610" s="1720"/>
      <c r="T610" s="1718">
        <f>SUM(T604:X609)</f>
        <v>22</v>
      </c>
      <c r="U610" s="1719"/>
      <c r="V610" s="1719"/>
      <c r="W610" s="1719"/>
      <c r="X610" s="1720"/>
      <c r="Y610" s="1699" t="s">
        <v>867</v>
      </c>
      <c r="Z610" s="1700"/>
      <c r="AA610" s="1700"/>
      <c r="AB610" s="1700"/>
      <c r="AC610" s="1701"/>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49" t="s">
        <v>2234</v>
      </c>
      <c r="B613" s="1050"/>
      <c r="C613" s="1050"/>
      <c r="D613" s="1050"/>
      <c r="E613" s="1050"/>
      <c r="F613" s="1050"/>
      <c r="G613" s="1050"/>
      <c r="H613" s="1050"/>
      <c r="I613" s="1050"/>
      <c r="J613" s="1050"/>
      <c r="K613" s="1050"/>
      <c r="L613" s="1050"/>
      <c r="M613" s="1050"/>
      <c r="N613" s="1050"/>
      <c r="O613" s="1050"/>
      <c r="P613" s="1050"/>
      <c r="Q613" s="1050"/>
      <c r="R613" s="1050"/>
      <c r="S613" s="1050"/>
      <c r="T613" s="1050"/>
      <c r="U613" s="1050"/>
      <c r="V613" s="1050"/>
      <c r="W613" s="1050"/>
      <c r="X613" s="1050"/>
      <c r="Y613" s="1050"/>
      <c r="Z613" s="1050"/>
      <c r="AA613" s="1050"/>
      <c r="AB613" s="1050"/>
      <c r="AC613" s="1050"/>
      <c r="AD613" s="1050"/>
      <c r="AE613" s="1050"/>
      <c r="AF613" s="1050"/>
      <c r="AG613" s="1050"/>
      <c r="AH613" s="1050"/>
      <c r="AI613" s="1052"/>
      <c r="AJ613" s="1738">
        <v>2</v>
      </c>
      <c r="AK613" s="1739"/>
      <c r="BD613" s="21"/>
      <c r="BE613" s="21"/>
      <c r="BF613" s="21"/>
      <c r="BG613" s="21"/>
      <c r="BH613" s="21"/>
    </row>
    <row r="614" spans="1:60">
      <c r="A614" s="7"/>
      <c r="B614" s="151"/>
      <c r="C614" s="15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17" t="s">
        <v>2235</v>
      </c>
      <c r="B615" s="1717"/>
      <c r="C615" s="1717"/>
      <c r="D615" s="1717"/>
      <c r="E615" s="1717"/>
      <c r="F615" s="1717"/>
      <c r="G615" s="1717"/>
      <c r="H615" s="1717"/>
      <c r="I615" s="1717"/>
      <c r="J615" s="1717"/>
      <c r="K615" s="1717"/>
      <c r="L615" s="1717"/>
      <c r="M615" s="1717"/>
      <c r="N615" s="1717"/>
      <c r="O615" s="1717"/>
      <c r="P615" s="1717"/>
      <c r="Q615" s="1717"/>
      <c r="R615" s="1717"/>
      <c r="S615" s="1717"/>
      <c r="T615" s="1717"/>
      <c r="U615" s="1717"/>
      <c r="V615" s="1717"/>
      <c r="W615" s="1717"/>
      <c r="X615" s="1717"/>
      <c r="Y615" s="1717"/>
      <c r="Z615" s="1717"/>
      <c r="AA615" s="1717"/>
      <c r="AB615" s="1717"/>
      <c r="AC615" s="1717"/>
      <c r="AD615" s="1717"/>
      <c r="AE615" s="1717"/>
      <c r="AF615" s="1717"/>
      <c r="AG615" s="1717"/>
      <c r="AH615" s="1717"/>
      <c r="AI615" s="1717"/>
      <c r="AJ615" s="1717"/>
      <c r="AK615" s="1192">
        <f>IF($AC$589=0,0,$AC$589+$AJ$613)</f>
        <v>72</v>
      </c>
      <c r="AL615" s="1193"/>
      <c r="AM615" s="1195"/>
      <c r="AO615" s="4"/>
    </row>
    <row r="616" spans="1:60" ht="14.1"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4.1" customHeight="1">
      <c r="A617" s="56" t="s">
        <v>2236</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3.1" customHeight="1">
      <c r="A618" s="18"/>
      <c r="AI618" s="19"/>
      <c r="AJ618" s="4"/>
      <c r="AK618" s="4"/>
      <c r="AL618" s="4"/>
      <c r="AM618" s="4"/>
    </row>
    <row r="619" spans="1:60">
      <c r="A619" s="20"/>
      <c r="B619" s="1582" t="s">
        <v>2237</v>
      </c>
      <c r="C619" s="1582"/>
      <c r="D619" s="1582"/>
      <c r="E619" s="1582"/>
      <c r="F619" s="1582"/>
      <c r="G619" s="1582"/>
      <c r="H619" s="1582"/>
      <c r="I619" s="1582"/>
      <c r="J619" s="1582"/>
      <c r="K619" s="1582"/>
      <c r="L619" s="1582"/>
      <c r="M619" s="1582"/>
      <c r="N619" s="1582"/>
      <c r="O619" s="1582"/>
      <c r="P619" s="1582"/>
      <c r="Q619" s="1582"/>
      <c r="R619" s="1582"/>
      <c r="S619" s="1582"/>
      <c r="T619" s="1582"/>
      <c r="U619" s="1582"/>
      <c r="V619" s="1582"/>
      <c r="W619" s="1582"/>
      <c r="X619" s="1582"/>
      <c r="Y619" s="1582"/>
      <c r="Z619" s="1582"/>
      <c r="AA619" s="1582"/>
      <c r="AB619" s="1582"/>
      <c r="AC619" s="1582"/>
      <c r="AD619" s="1582"/>
      <c r="AE619" s="1582"/>
      <c r="AF619" s="1582"/>
      <c r="AG619" s="1582"/>
      <c r="AH619" s="1582"/>
      <c r="AI619" s="19"/>
      <c r="AJ619" s="4"/>
      <c r="AK619" s="4"/>
      <c r="AL619" s="4"/>
      <c r="AM619" s="4"/>
    </row>
    <row r="620" spans="1:60">
      <c r="A620" s="4"/>
      <c r="B620" s="1582"/>
      <c r="C620" s="1582"/>
      <c r="D620" s="1582"/>
      <c r="E620" s="1582"/>
      <c r="F620" s="1582"/>
      <c r="G620" s="1582"/>
      <c r="H620" s="1582"/>
      <c r="I620" s="1582"/>
      <c r="J620" s="1582"/>
      <c r="K620" s="1582"/>
      <c r="L620" s="1582"/>
      <c r="M620" s="1582"/>
      <c r="N620" s="1582"/>
      <c r="O620" s="1582"/>
      <c r="P620" s="1582"/>
      <c r="Q620" s="1582"/>
      <c r="R620" s="1582"/>
      <c r="S620" s="1582"/>
      <c r="T620" s="1582"/>
      <c r="U620" s="1582"/>
      <c r="V620" s="1582"/>
      <c r="W620" s="1582"/>
      <c r="X620" s="1582"/>
      <c r="Y620" s="1582"/>
      <c r="Z620" s="1582"/>
      <c r="AA620" s="1582"/>
      <c r="AB620" s="1582"/>
      <c r="AC620" s="1582"/>
      <c r="AD620" s="1582"/>
      <c r="AE620" s="1582"/>
      <c r="AF620" s="1582"/>
      <c r="AG620" s="1582"/>
      <c r="AH620" s="1582"/>
      <c r="AI620" s="4"/>
      <c r="AJ620" s="4"/>
      <c r="AK620" s="4"/>
      <c r="AL620" s="4"/>
      <c r="AM620" s="4"/>
    </row>
    <row r="621" spans="1:60" ht="14.1" customHeight="1">
      <c r="A621" s="4"/>
      <c r="B621" s="32"/>
      <c r="C621" s="152" t="s">
        <v>2238</v>
      </c>
      <c r="D621" s="4"/>
      <c r="E621" s="4"/>
      <c r="F621" s="140"/>
      <c r="G621" s="140"/>
      <c r="H621" s="140"/>
      <c r="I621" s="140"/>
      <c r="J621" s="140"/>
      <c r="K621" s="140"/>
      <c r="L621" s="140"/>
      <c r="M621" s="140"/>
      <c r="N621" s="140"/>
      <c r="O621" s="140"/>
      <c r="P621" s="140"/>
      <c r="Q621" s="140"/>
      <c r="R621" s="140"/>
      <c r="S621" s="140"/>
      <c r="T621" s="140"/>
      <c r="U621" s="140"/>
      <c r="V621" s="140"/>
      <c r="W621" s="140"/>
      <c r="X621" s="140"/>
      <c r="Y621" s="140"/>
      <c r="Z621" s="140"/>
      <c r="AA621" s="140"/>
      <c r="AB621" s="140"/>
      <c r="AC621" s="4"/>
      <c r="AD621" s="4"/>
      <c r="AE621" s="4"/>
      <c r="AF621" s="18"/>
      <c r="AG621" s="4"/>
      <c r="AH621" s="18" t="s">
        <v>1848</v>
      </c>
      <c r="AI621" s="18"/>
      <c r="AJ621" s="18"/>
      <c r="AK621" s="18"/>
      <c r="AL621" s="18"/>
      <c r="AM621" s="4"/>
      <c r="AO621" s="4"/>
    </row>
    <row r="622" spans="1:60" ht="14.1" customHeight="1">
      <c r="A622" s="4"/>
      <c r="B622" s="32"/>
      <c r="C622" s="38"/>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40"/>
      <c r="AE622" s="140"/>
      <c r="AF622" s="140"/>
      <c r="AG622" s="140"/>
      <c r="AH622" s="140"/>
      <c r="AI622" s="140"/>
      <c r="AJ622" s="4"/>
      <c r="AK622" s="4"/>
      <c r="AL622" s="4"/>
      <c r="AM622" s="4"/>
      <c r="AO622" s="4"/>
    </row>
    <row r="623" spans="1:60">
      <c r="A623" s="4"/>
      <c r="B623" s="20"/>
      <c r="C623" s="1069" t="s">
        <v>826</v>
      </c>
      <c r="D623" s="1069"/>
      <c r="E623" s="163"/>
      <c r="F623" s="1708" t="s">
        <v>2239</v>
      </c>
      <c r="G623" s="1709"/>
      <c r="H623" s="1709"/>
      <c r="I623" s="1709"/>
      <c r="J623" s="1709"/>
      <c r="K623" s="1709"/>
      <c r="L623" s="1709"/>
      <c r="M623" s="1709"/>
      <c r="N623" s="1709"/>
      <c r="O623" s="1709"/>
      <c r="P623" s="1709"/>
      <c r="Q623" s="1709"/>
      <c r="R623" s="1709"/>
      <c r="S623" s="1709"/>
      <c r="T623" s="1709"/>
      <c r="U623" s="1709"/>
      <c r="V623" s="1709"/>
      <c r="W623" s="1709"/>
      <c r="X623" s="1709"/>
      <c r="Y623" s="1709"/>
      <c r="Z623" s="1709"/>
      <c r="AA623" s="1709"/>
      <c r="AB623" s="1709"/>
      <c r="AC623" s="1709"/>
      <c r="AD623" s="1710"/>
      <c r="AE623" s="4"/>
      <c r="AF623" s="153"/>
      <c r="AG623" s="971" t="s">
        <v>1882</v>
      </c>
      <c r="AH623" s="971"/>
      <c r="AI623" s="971"/>
      <c r="AJ623" s="971"/>
      <c r="AK623" s="4"/>
      <c r="AL623" s="4"/>
      <c r="AM623" s="4"/>
      <c r="AO623" s="4"/>
      <c r="AP623" s="32"/>
    </row>
    <row r="624" spans="1:60">
      <c r="A624" s="4"/>
      <c r="B624" s="20"/>
      <c r="C624" s="38"/>
      <c r="D624" s="4"/>
      <c r="E624" s="163"/>
      <c r="F624" s="1711"/>
      <c r="G624" s="1712"/>
      <c r="H624" s="1712"/>
      <c r="I624" s="1712"/>
      <c r="J624" s="1712"/>
      <c r="K624" s="1712"/>
      <c r="L624" s="1712"/>
      <c r="M624" s="1712"/>
      <c r="N624" s="1712"/>
      <c r="O624" s="1712"/>
      <c r="P624" s="1712"/>
      <c r="Q624" s="1712"/>
      <c r="R624" s="1712"/>
      <c r="S624" s="1712"/>
      <c r="T624" s="1712"/>
      <c r="U624" s="1712"/>
      <c r="V624" s="1712"/>
      <c r="W624" s="1712"/>
      <c r="X624" s="1712"/>
      <c r="Y624" s="1712"/>
      <c r="Z624" s="1712"/>
      <c r="AA624" s="1712"/>
      <c r="AB624" s="1712"/>
      <c r="AC624" s="1712"/>
      <c r="AD624" s="1713"/>
      <c r="AE624" s="4"/>
      <c r="AF624" s="153"/>
      <c r="AG624" s="153"/>
      <c r="AH624" s="153"/>
      <c r="AI624" s="153"/>
      <c r="AJ624" s="4"/>
      <c r="AK624" s="4"/>
      <c r="AL624" s="4"/>
      <c r="AM624" s="4"/>
    </row>
    <row r="625" spans="1:60" ht="14.1" customHeight="1">
      <c r="A625" s="4"/>
      <c r="B625" s="20"/>
      <c r="C625" s="38"/>
      <c r="D625" s="4"/>
      <c r="E625" s="163"/>
      <c r="F625" s="1714"/>
      <c r="G625" s="1715"/>
      <c r="H625" s="1715"/>
      <c r="I625" s="1715"/>
      <c r="J625" s="1715"/>
      <c r="K625" s="1715"/>
      <c r="L625" s="1715"/>
      <c r="M625" s="1715"/>
      <c r="N625" s="1715"/>
      <c r="O625" s="1715"/>
      <c r="P625" s="1715"/>
      <c r="Q625" s="1715"/>
      <c r="R625" s="1715"/>
      <c r="S625" s="1715"/>
      <c r="T625" s="1715"/>
      <c r="U625" s="1715"/>
      <c r="V625" s="1715"/>
      <c r="W625" s="1715"/>
      <c r="X625" s="1715"/>
      <c r="Y625" s="1715"/>
      <c r="Z625" s="1715"/>
      <c r="AA625" s="1715"/>
      <c r="AB625" s="1715"/>
      <c r="AC625" s="1715"/>
      <c r="AD625" s="1716"/>
      <c r="AE625" s="4"/>
      <c r="AF625" s="153"/>
      <c r="AG625" s="153"/>
      <c r="AH625" s="153"/>
      <c r="AI625" s="153"/>
      <c r="AJ625" s="4"/>
      <c r="AK625" s="4"/>
      <c r="AL625" s="4"/>
      <c r="AM625" s="4"/>
    </row>
    <row r="626" spans="1:60" ht="14.1" customHeight="1">
      <c r="A626" s="4"/>
      <c r="B626" s="20"/>
      <c r="C626" s="38"/>
      <c r="D626" s="4"/>
      <c r="E626" s="163"/>
      <c r="F626" s="734"/>
      <c r="G626" s="734"/>
      <c r="H626" s="734"/>
      <c r="I626" s="734"/>
      <c r="J626" s="734"/>
      <c r="K626" s="734"/>
      <c r="L626" s="734"/>
      <c r="M626" s="734"/>
      <c r="N626" s="734"/>
      <c r="O626" s="734"/>
      <c r="P626" s="734"/>
      <c r="Q626" s="734"/>
      <c r="R626" s="734"/>
      <c r="S626" s="734"/>
      <c r="T626" s="734"/>
      <c r="U626" s="734"/>
      <c r="V626" s="734"/>
      <c r="W626" s="734"/>
      <c r="X626" s="734"/>
      <c r="Y626" s="734"/>
      <c r="Z626" s="734"/>
      <c r="AA626" s="734"/>
      <c r="AB626" s="734"/>
      <c r="AC626" s="734"/>
      <c r="AD626" s="734"/>
      <c r="AE626" s="4"/>
      <c r="AF626" s="153"/>
      <c r="AG626" s="153"/>
      <c r="AH626" s="153"/>
      <c r="AI626" s="153"/>
      <c r="AJ626" s="4"/>
      <c r="AK626" s="4"/>
      <c r="AL626" s="4"/>
      <c r="AM626" s="4"/>
    </row>
    <row r="627" spans="1:60" ht="14.1" customHeight="1">
      <c r="A627" s="4"/>
      <c r="B627" s="1582" t="s">
        <v>2240</v>
      </c>
      <c r="C627" s="1582"/>
      <c r="D627" s="1582"/>
      <c r="E627" s="1582"/>
      <c r="F627" s="1582"/>
      <c r="G627" s="1582"/>
      <c r="H627" s="1582"/>
      <c r="I627" s="1582"/>
      <c r="J627" s="1582"/>
      <c r="K627" s="1582"/>
      <c r="L627" s="1582"/>
      <c r="M627" s="1582"/>
      <c r="N627" s="1582"/>
      <c r="O627" s="1582"/>
      <c r="P627" s="1582"/>
      <c r="Q627" s="1582"/>
      <c r="R627" s="1582"/>
      <c r="S627" s="1582"/>
      <c r="T627" s="1582"/>
      <c r="U627" s="1582"/>
      <c r="V627" s="1582"/>
      <c r="W627" s="1582"/>
      <c r="X627" s="1582"/>
      <c r="Y627" s="1582"/>
      <c r="Z627" s="1582"/>
      <c r="AA627" s="1582"/>
      <c r="AB627" s="1582"/>
      <c r="AC627" s="1582"/>
      <c r="AD627" s="1582"/>
      <c r="AE627" s="1582"/>
      <c r="AF627" s="1582"/>
      <c r="AG627" s="1582"/>
      <c r="AH627" s="1582"/>
      <c r="AI627" s="153"/>
      <c r="AJ627" s="4"/>
      <c r="AK627" s="4"/>
      <c r="AL627" s="4"/>
      <c r="AM627" s="4"/>
      <c r="AN627" s="65"/>
    </row>
    <row r="628" spans="1:60" ht="14.1" customHeight="1">
      <c r="B628" s="1582"/>
      <c r="C628" s="1582"/>
      <c r="D628" s="1582"/>
      <c r="E628" s="1582"/>
      <c r="F628" s="1582"/>
      <c r="G628" s="1582"/>
      <c r="H628" s="1582"/>
      <c r="I628" s="1582"/>
      <c r="J628" s="1582"/>
      <c r="K628" s="1582"/>
      <c r="L628" s="1582"/>
      <c r="M628" s="1582"/>
      <c r="N628" s="1582"/>
      <c r="O628" s="1582"/>
      <c r="P628" s="1582"/>
      <c r="Q628" s="1582"/>
      <c r="R628" s="1582"/>
      <c r="S628" s="1582"/>
      <c r="T628" s="1582"/>
      <c r="U628" s="1582"/>
      <c r="V628" s="1582"/>
      <c r="W628" s="1582"/>
      <c r="X628" s="1582"/>
      <c r="Y628" s="1582"/>
      <c r="Z628" s="1582"/>
      <c r="AA628" s="1582"/>
      <c r="AB628" s="1582"/>
      <c r="AC628" s="1582"/>
      <c r="AD628" s="1582"/>
      <c r="AE628" s="1582"/>
      <c r="AF628" s="1582"/>
      <c r="AG628" s="1582"/>
      <c r="AH628" s="1582"/>
      <c r="AI628" s="140"/>
      <c r="AJ628" s="4"/>
      <c r="AK628" s="4"/>
      <c r="AL628" s="4"/>
      <c r="AM628" s="4"/>
      <c r="AN628" s="65"/>
      <c r="AR628" s="37"/>
    </row>
    <row r="629" spans="1:60" ht="14.1" customHeight="1">
      <c r="A629" s="4"/>
      <c r="B629" s="1582"/>
      <c r="C629" s="1582"/>
      <c r="D629" s="1582"/>
      <c r="E629" s="1582"/>
      <c r="F629" s="1582"/>
      <c r="G629" s="1582"/>
      <c r="H629" s="1582"/>
      <c r="I629" s="1582"/>
      <c r="J629" s="1582"/>
      <c r="K629" s="1582"/>
      <c r="L629" s="1582"/>
      <c r="M629" s="1582"/>
      <c r="N629" s="1582"/>
      <c r="O629" s="1582"/>
      <c r="P629" s="1582"/>
      <c r="Q629" s="1582"/>
      <c r="R629" s="1582"/>
      <c r="S629" s="1582"/>
      <c r="T629" s="1582"/>
      <c r="U629" s="1582"/>
      <c r="V629" s="1582"/>
      <c r="W629" s="1582"/>
      <c r="X629" s="1582"/>
      <c r="Y629" s="1582"/>
      <c r="Z629" s="1582"/>
      <c r="AA629" s="1582"/>
      <c r="AB629" s="1582"/>
      <c r="AC629" s="1582"/>
      <c r="AD629" s="1582"/>
      <c r="AE629" s="1582"/>
      <c r="AF629" s="1582"/>
      <c r="AG629" s="1582"/>
      <c r="AH629" s="1582"/>
      <c r="AI629" s="140"/>
      <c r="AJ629" s="4"/>
      <c r="AK629" s="4"/>
      <c r="AL629" s="4"/>
      <c r="AM629" s="4"/>
      <c r="AN629" s="65"/>
    </row>
    <row r="630" spans="1:60" ht="14.1" customHeight="1">
      <c r="A630" s="4"/>
      <c r="B630" s="1582"/>
      <c r="C630" s="1582"/>
      <c r="D630" s="1582"/>
      <c r="E630" s="1582"/>
      <c r="F630" s="1582"/>
      <c r="G630" s="1582"/>
      <c r="H630" s="1582"/>
      <c r="I630" s="1582"/>
      <c r="J630" s="1582"/>
      <c r="K630" s="1582"/>
      <c r="L630" s="1582"/>
      <c r="M630" s="1582"/>
      <c r="N630" s="1582"/>
      <c r="O630" s="1582"/>
      <c r="P630" s="1582"/>
      <c r="Q630" s="1582"/>
      <c r="R630" s="1582"/>
      <c r="S630" s="1582"/>
      <c r="T630" s="1582"/>
      <c r="U630" s="1582"/>
      <c r="V630" s="1582"/>
      <c r="W630" s="1582"/>
      <c r="X630" s="1582"/>
      <c r="Y630" s="1582"/>
      <c r="Z630" s="1582"/>
      <c r="AA630" s="1582"/>
      <c r="AB630" s="1582"/>
      <c r="AC630" s="1582"/>
      <c r="AD630" s="1582"/>
      <c r="AE630" s="1582"/>
      <c r="AF630" s="1582"/>
      <c r="AG630" s="1582"/>
      <c r="AH630" s="1582"/>
      <c r="AI630" s="140"/>
      <c r="AJ630" s="4"/>
      <c r="AK630" s="4"/>
      <c r="AL630" s="4"/>
      <c r="AM630" s="4"/>
      <c r="AN630" s="65"/>
    </row>
    <row r="631" spans="1:60" ht="14.1" customHeight="1">
      <c r="A631" s="4"/>
      <c r="B631" s="1582"/>
      <c r="C631" s="1582"/>
      <c r="D631" s="1582"/>
      <c r="E631" s="1582"/>
      <c r="F631" s="1582"/>
      <c r="G631" s="1582"/>
      <c r="H631" s="1582"/>
      <c r="I631" s="1582"/>
      <c r="J631" s="1582"/>
      <c r="K631" s="1582"/>
      <c r="L631" s="1582"/>
      <c r="M631" s="1582"/>
      <c r="N631" s="1582"/>
      <c r="O631" s="1582"/>
      <c r="P631" s="1582"/>
      <c r="Q631" s="1582"/>
      <c r="R631" s="1582"/>
      <c r="S631" s="1582"/>
      <c r="T631" s="1582"/>
      <c r="U631" s="1582"/>
      <c r="V631" s="1582"/>
      <c r="W631" s="1582"/>
      <c r="X631" s="1582"/>
      <c r="Y631" s="1582"/>
      <c r="Z631" s="1582"/>
      <c r="AA631" s="1582"/>
      <c r="AB631" s="1582"/>
      <c r="AC631" s="1582"/>
      <c r="AD631" s="1582"/>
      <c r="AE631" s="1582"/>
      <c r="AF631" s="1582"/>
      <c r="AG631" s="1582"/>
      <c r="AH631" s="1582"/>
      <c r="AI631" s="140"/>
      <c r="AJ631" s="4"/>
      <c r="AK631" s="4"/>
      <c r="AL631" s="4"/>
      <c r="AM631" s="4"/>
      <c r="AN631" s="65"/>
    </row>
    <row r="632" spans="1:60" ht="14.1" customHeight="1">
      <c r="A632" s="4"/>
      <c r="B632" s="1582"/>
      <c r="C632" s="1582"/>
      <c r="D632" s="1582"/>
      <c r="E632" s="1582"/>
      <c r="F632" s="1582"/>
      <c r="G632" s="1582"/>
      <c r="H632" s="1582"/>
      <c r="I632" s="1582"/>
      <c r="J632" s="1582"/>
      <c r="K632" s="1582"/>
      <c r="L632" s="1582"/>
      <c r="M632" s="1582"/>
      <c r="N632" s="1582"/>
      <c r="O632" s="1582"/>
      <c r="P632" s="1582"/>
      <c r="Q632" s="1582"/>
      <c r="R632" s="1582"/>
      <c r="S632" s="1582"/>
      <c r="T632" s="1582"/>
      <c r="U632" s="1582"/>
      <c r="V632" s="1582"/>
      <c r="W632" s="1582"/>
      <c r="X632" s="1582"/>
      <c r="Y632" s="1582"/>
      <c r="Z632" s="1582"/>
      <c r="AA632" s="1582"/>
      <c r="AB632" s="1582"/>
      <c r="AC632" s="1582"/>
      <c r="AD632" s="1582"/>
      <c r="AE632" s="1582"/>
      <c r="AF632" s="1582"/>
      <c r="AG632" s="1582"/>
      <c r="AH632" s="1582"/>
      <c r="AI632" s="140"/>
      <c r="AJ632" s="4"/>
      <c r="AK632" s="4"/>
      <c r="AL632" s="4"/>
      <c r="AM632" s="4"/>
      <c r="AN632" s="65"/>
    </row>
    <row r="633" spans="1:60" ht="14.1" customHeight="1">
      <c r="A633" s="4"/>
      <c r="B633" s="1582"/>
      <c r="C633" s="1582"/>
      <c r="D633" s="1582"/>
      <c r="E633" s="1582"/>
      <c r="F633" s="1582"/>
      <c r="G633" s="1582"/>
      <c r="H633" s="1582"/>
      <c r="I633" s="1582"/>
      <c r="J633" s="1582"/>
      <c r="K633" s="1582"/>
      <c r="L633" s="1582"/>
      <c r="M633" s="1582"/>
      <c r="N633" s="1582"/>
      <c r="O633" s="1582"/>
      <c r="P633" s="1582"/>
      <c r="Q633" s="1582"/>
      <c r="R633" s="1582"/>
      <c r="S633" s="1582"/>
      <c r="T633" s="1582"/>
      <c r="U633" s="1582"/>
      <c r="V633" s="1582"/>
      <c r="W633" s="1582"/>
      <c r="X633" s="1582"/>
      <c r="Y633" s="1582"/>
      <c r="Z633" s="1582"/>
      <c r="AA633" s="1582"/>
      <c r="AB633" s="1582"/>
      <c r="AC633" s="1582"/>
      <c r="AD633" s="1582"/>
      <c r="AE633" s="1582"/>
      <c r="AF633" s="1582"/>
      <c r="AG633" s="1582"/>
      <c r="AH633" s="1582"/>
      <c r="AI633" s="140"/>
      <c r="AJ633" s="4"/>
      <c r="AK633" s="4"/>
      <c r="AL633" s="4"/>
      <c r="AM633" s="4"/>
      <c r="AN633" s="65"/>
    </row>
    <row r="634" spans="1:60">
      <c r="A634" s="4"/>
      <c r="B634" s="1582"/>
      <c r="C634" s="1582"/>
      <c r="D634" s="1582"/>
      <c r="E634" s="1582"/>
      <c r="F634" s="1582"/>
      <c r="G634" s="1582"/>
      <c r="H634" s="1582"/>
      <c r="I634" s="1582"/>
      <c r="J634" s="1582"/>
      <c r="K634" s="1582"/>
      <c r="L634" s="1582"/>
      <c r="M634" s="1582"/>
      <c r="N634" s="1582"/>
      <c r="O634" s="1582"/>
      <c r="P634" s="1582"/>
      <c r="Q634" s="1582"/>
      <c r="R634" s="1582"/>
      <c r="S634" s="1582"/>
      <c r="T634" s="1582"/>
      <c r="U634" s="1582"/>
      <c r="V634" s="1582"/>
      <c r="W634" s="1582"/>
      <c r="X634" s="1582"/>
      <c r="Y634" s="1582"/>
      <c r="Z634" s="1582"/>
      <c r="AA634" s="1582"/>
      <c r="AB634" s="1582"/>
      <c r="AC634" s="1582"/>
      <c r="AD634" s="1582"/>
      <c r="AE634" s="1582"/>
      <c r="AF634" s="1582"/>
      <c r="AG634" s="1582"/>
      <c r="AH634" s="1582"/>
      <c r="AI634" s="140"/>
      <c r="AJ634" s="4"/>
      <c r="AK634" s="4"/>
      <c r="AL634" s="4"/>
      <c r="AM634" s="4"/>
      <c r="AN634" s="65"/>
    </row>
    <row r="635" spans="1:60">
      <c r="A635" s="4"/>
      <c r="B635" s="1582"/>
      <c r="C635" s="1582"/>
      <c r="D635" s="1582"/>
      <c r="E635" s="1582"/>
      <c r="F635" s="1582"/>
      <c r="G635" s="1582"/>
      <c r="H635" s="1582"/>
      <c r="I635" s="1582"/>
      <c r="J635" s="1582"/>
      <c r="K635" s="1582"/>
      <c r="L635" s="1582"/>
      <c r="M635" s="1582"/>
      <c r="N635" s="1582"/>
      <c r="O635" s="1582"/>
      <c r="P635" s="1582"/>
      <c r="Q635" s="1582"/>
      <c r="R635" s="1582"/>
      <c r="S635" s="1582"/>
      <c r="T635" s="1582"/>
      <c r="U635" s="1582"/>
      <c r="V635" s="1582"/>
      <c r="W635" s="1582"/>
      <c r="X635" s="1582"/>
      <c r="Y635" s="1582"/>
      <c r="Z635" s="1582"/>
      <c r="AA635" s="1582"/>
      <c r="AB635" s="1582"/>
      <c r="AC635" s="1582"/>
      <c r="AD635" s="1582"/>
      <c r="AE635" s="1582"/>
      <c r="AF635" s="1582"/>
      <c r="AG635" s="1582"/>
      <c r="AH635" s="1582"/>
      <c r="AI635" s="140"/>
      <c r="AJ635" s="4"/>
      <c r="AK635" s="4"/>
      <c r="AL635" s="4"/>
      <c r="AM635" s="4"/>
      <c r="AN635" s="65"/>
    </row>
    <row r="636" spans="1:60">
      <c r="A636" s="4"/>
      <c r="B636" s="1582"/>
      <c r="C636" s="1582"/>
      <c r="D636" s="1582"/>
      <c r="E636" s="1582"/>
      <c r="F636" s="1582"/>
      <c r="G636" s="1582"/>
      <c r="H636" s="1582"/>
      <c r="I636" s="1582"/>
      <c r="J636" s="1582"/>
      <c r="K636" s="1582"/>
      <c r="L636" s="1582"/>
      <c r="M636" s="1582"/>
      <c r="N636" s="1582"/>
      <c r="O636" s="1582"/>
      <c r="P636" s="1582"/>
      <c r="Q636" s="1582"/>
      <c r="R636" s="1582"/>
      <c r="S636" s="1582"/>
      <c r="T636" s="1582"/>
      <c r="U636" s="1582"/>
      <c r="V636" s="1582"/>
      <c r="W636" s="1582"/>
      <c r="X636" s="1582"/>
      <c r="Y636" s="1582"/>
      <c r="Z636" s="1582"/>
      <c r="AA636" s="1582"/>
      <c r="AB636" s="1582"/>
      <c r="AC636" s="1582"/>
      <c r="AD636" s="1582"/>
      <c r="AE636" s="1582"/>
      <c r="AF636" s="1582"/>
      <c r="AG636" s="1582"/>
      <c r="AH636" s="1582"/>
      <c r="AI636" s="140"/>
      <c r="AJ636" s="4"/>
      <c r="AK636" s="4"/>
      <c r="AL636" s="4"/>
      <c r="AM636" s="4"/>
      <c r="AN636" s="65"/>
    </row>
    <row r="637" spans="1:60">
      <c r="A637" s="4"/>
      <c r="B637" s="1582"/>
      <c r="C637" s="1582"/>
      <c r="D637" s="1582"/>
      <c r="E637" s="1582"/>
      <c r="F637" s="1582"/>
      <c r="G637" s="1582"/>
      <c r="H637" s="1582"/>
      <c r="I637" s="1582"/>
      <c r="J637" s="1582"/>
      <c r="K637" s="1582"/>
      <c r="L637" s="1582"/>
      <c r="M637" s="1582"/>
      <c r="N637" s="1582"/>
      <c r="O637" s="1582"/>
      <c r="P637" s="1582"/>
      <c r="Q637" s="1582"/>
      <c r="R637" s="1582"/>
      <c r="S637" s="1582"/>
      <c r="T637" s="1582"/>
      <c r="U637" s="1582"/>
      <c r="V637" s="1582"/>
      <c r="W637" s="1582"/>
      <c r="X637" s="1582"/>
      <c r="Y637" s="1582"/>
      <c r="Z637" s="1582"/>
      <c r="AA637" s="1582"/>
      <c r="AB637" s="1582"/>
      <c r="AC637" s="1582"/>
      <c r="AD637" s="1582"/>
      <c r="AE637" s="1582"/>
      <c r="AF637" s="1582"/>
      <c r="AG637" s="1582"/>
      <c r="AH637" s="1582"/>
      <c r="AI637" s="140"/>
      <c r="AJ637" s="4"/>
      <c r="AK637" s="4"/>
      <c r="AL637" s="4"/>
      <c r="AM637" s="4"/>
      <c r="AN637" s="65"/>
    </row>
    <row r="638" spans="1:60" s="562" customFormat="1" ht="12.6" customHeight="1">
      <c r="A638" s="4"/>
      <c r="B638" s="1582"/>
      <c r="C638" s="1582"/>
      <c r="D638" s="1582"/>
      <c r="E638" s="1582"/>
      <c r="F638" s="1582"/>
      <c r="G638" s="1582"/>
      <c r="H638" s="1582"/>
      <c r="I638" s="1582"/>
      <c r="J638" s="1582"/>
      <c r="K638" s="1582"/>
      <c r="L638" s="1582"/>
      <c r="M638" s="1582"/>
      <c r="N638" s="1582"/>
      <c r="O638" s="1582"/>
      <c r="P638" s="1582"/>
      <c r="Q638" s="1582"/>
      <c r="R638" s="1582"/>
      <c r="S638" s="1582"/>
      <c r="T638" s="1582"/>
      <c r="U638" s="1582"/>
      <c r="V638" s="1582"/>
      <c r="W638" s="1582"/>
      <c r="X638" s="1582"/>
      <c r="Y638" s="1582"/>
      <c r="Z638" s="1582"/>
      <c r="AA638" s="1582"/>
      <c r="AB638" s="1582"/>
      <c r="AC638" s="1582"/>
      <c r="AD638" s="1582"/>
      <c r="AE638" s="1582"/>
      <c r="AF638" s="1582"/>
      <c r="AG638" s="1582"/>
      <c r="AH638" s="1582"/>
      <c r="AI638" s="140"/>
      <c r="AJ638" s="4"/>
      <c r="AK638" s="4"/>
      <c r="AL638" s="4"/>
      <c r="AM638" s="4"/>
      <c r="AN638" s="591"/>
      <c r="BD638" s="564"/>
      <c r="BE638" s="564"/>
      <c r="BF638" s="564"/>
      <c r="BG638" s="564"/>
      <c r="BH638" s="564"/>
    </row>
    <row r="639" spans="1:60">
      <c r="A639" s="4"/>
      <c r="B639" s="1582"/>
      <c r="C639" s="1582"/>
      <c r="D639" s="1582"/>
      <c r="E639" s="1582"/>
      <c r="F639" s="1582"/>
      <c r="G639" s="1582"/>
      <c r="H639" s="1582"/>
      <c r="I639" s="1582"/>
      <c r="J639" s="1582"/>
      <c r="K639" s="1582"/>
      <c r="L639" s="1582"/>
      <c r="M639" s="1582"/>
      <c r="N639" s="1582"/>
      <c r="O639" s="1582"/>
      <c r="P639" s="1582"/>
      <c r="Q639" s="1582"/>
      <c r="R639" s="1582"/>
      <c r="S639" s="1582"/>
      <c r="T639" s="1582"/>
      <c r="U639" s="1582"/>
      <c r="V639" s="1582"/>
      <c r="W639" s="1582"/>
      <c r="X639" s="1582"/>
      <c r="Y639" s="1582"/>
      <c r="Z639" s="1582"/>
      <c r="AA639" s="1582"/>
      <c r="AB639" s="1582"/>
      <c r="AC639" s="1582"/>
      <c r="AD639" s="1582"/>
      <c r="AE639" s="1582"/>
      <c r="AF639" s="1582"/>
      <c r="AG639" s="1582"/>
      <c r="AH639" s="1582"/>
      <c r="AI639" s="154"/>
      <c r="AJ639" s="4"/>
      <c r="AK639" s="4"/>
      <c r="AL639" s="4"/>
      <c r="AM639" s="4"/>
      <c r="AN639" s="65"/>
      <c r="AO639" s="21"/>
    </row>
    <row r="640" spans="1:60">
      <c r="A640" s="25"/>
      <c r="B640" s="26"/>
      <c r="C640" s="26"/>
      <c r="D640" s="26"/>
      <c r="E640" s="26"/>
      <c r="F640" s="26"/>
      <c r="G640" s="26"/>
      <c r="H640" s="26"/>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5"/>
      <c r="AK640" s="25"/>
      <c r="AL640" s="25"/>
      <c r="AM640" s="25"/>
      <c r="AN640" s="65"/>
    </row>
    <row r="641" spans="1:49">
      <c r="A641" s="76"/>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53"/>
      <c r="AJ641" s="53" t="s">
        <v>2241</v>
      </c>
      <c r="AK641" s="1192">
        <f>IF($C$623="yes",10,0)</f>
        <v>10</v>
      </c>
      <c r="AL641" s="1193"/>
      <c r="AM641" s="1195"/>
      <c r="AN641" s="65"/>
      <c r="AO641" s="4"/>
    </row>
    <row r="642" spans="1:49" ht="12.6" thickBo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65"/>
      <c r="AO642" s="21"/>
    </row>
    <row r="643" spans="1:49" ht="12.6" thickTop="1">
      <c r="AN643" s="65"/>
      <c r="AO643" s="21"/>
      <c r="AP643"/>
      <c r="AQ643" s="560"/>
      <c r="AR643"/>
      <c r="AS643"/>
      <c r="AT643"/>
      <c r="AU643"/>
      <c r="AV643" s="36"/>
      <c r="AW643" s="36"/>
    </row>
    <row r="644" spans="1:49">
      <c r="A644" s="107" t="s">
        <v>2242</v>
      </c>
      <c r="B644" s="164"/>
      <c r="C644" s="165"/>
      <c r="D644" s="165"/>
      <c r="E644" s="165"/>
      <c r="F644" s="165"/>
      <c r="G644" s="165"/>
      <c r="H644" s="165"/>
      <c r="I644" s="83"/>
      <c r="J644" s="83"/>
      <c r="K644" s="83"/>
      <c r="L644" s="83"/>
      <c r="M644" s="83"/>
      <c r="N644" s="83"/>
      <c r="O644" s="83"/>
      <c r="P644" s="83"/>
      <c r="Q644" s="83"/>
      <c r="S644" s="3"/>
      <c r="T644" s="3"/>
      <c r="U644" s="3"/>
      <c r="V644" s="3"/>
      <c r="W644" s="3"/>
      <c r="X644" s="3"/>
      <c r="Y644" s="3"/>
      <c r="Z644" s="3"/>
      <c r="AA644" s="3"/>
      <c r="AB644" s="3"/>
      <c r="AC644" s="3"/>
      <c r="AD644" s="3"/>
      <c r="AE644" s="4"/>
      <c r="AF644" s="4"/>
      <c r="AG644" s="3"/>
      <c r="AH644" s="18" t="s">
        <v>2243</v>
      </c>
      <c r="AI644" s="3"/>
      <c r="AJ644" s="3"/>
      <c r="AK644" s="4"/>
      <c r="AL644" s="4"/>
      <c r="AM644" s="4"/>
      <c r="AN644" s="65"/>
      <c r="AO644" s="4">
        <f>IF($C$646="yes",2,0)</f>
        <v>2</v>
      </c>
      <c r="AQ644" s="560"/>
      <c r="AR644"/>
      <c r="AS644"/>
      <c r="AT644"/>
      <c r="AU644"/>
      <c r="AV644" s="36"/>
      <c r="AW644" s="36"/>
    </row>
    <row r="645" spans="1:49">
      <c r="B645" s="4"/>
      <c r="C645" s="10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65"/>
      <c r="AO645" s="4">
        <f>IF($C$651="yes",2,0)</f>
        <v>0</v>
      </c>
      <c r="AQ645"/>
      <c r="AR645"/>
      <c r="AS645"/>
      <c r="AT645"/>
      <c r="AU645"/>
      <c r="AV645" s="36"/>
      <c r="AW645" s="36"/>
    </row>
    <row r="646" spans="1:49">
      <c r="C646" s="1069" t="s">
        <v>826</v>
      </c>
      <c r="D646" s="1069"/>
      <c r="E646" s="163" t="s">
        <v>18</v>
      </c>
      <c r="F646" s="19" t="s">
        <v>2244</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1928</v>
      </c>
      <c r="AH646" s="4"/>
      <c r="AI646" s="4"/>
      <c r="AJ646" s="4"/>
      <c r="AK646" s="4"/>
      <c r="AL646" s="4"/>
      <c r="AM646" s="4"/>
      <c r="AN646" s="65"/>
      <c r="AO646" s="4">
        <f>IF($C$655="yes",2,0)</f>
        <v>2</v>
      </c>
      <c r="AQ646"/>
      <c r="AR646"/>
      <c r="AS646"/>
      <c r="AT646"/>
      <c r="AU646"/>
      <c r="AV646" s="36"/>
      <c r="AW646" s="36"/>
    </row>
    <row r="647" spans="1:49">
      <c r="A647" s="107"/>
      <c r="B647" s="20"/>
      <c r="F647" s="19" t="s">
        <v>2245</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65"/>
      <c r="AO647" s="4">
        <f>IF($C$659="yes",1,0)</f>
        <v>0</v>
      </c>
      <c r="AQ647"/>
      <c r="AR647"/>
      <c r="AS647"/>
      <c r="AT647"/>
      <c r="AU647"/>
      <c r="AV647" s="36"/>
      <c r="AW647" s="36"/>
    </row>
    <row r="648" spans="1:49">
      <c r="A648" s="4"/>
      <c r="B648" s="19"/>
      <c r="C648" s="4"/>
      <c r="D648" s="19"/>
      <c r="E648" s="4"/>
      <c r="F648" s="19" t="s">
        <v>2246</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65"/>
      <c r="AO648" s="4">
        <f>IF($C$661="yes",2,0)</f>
        <v>0</v>
      </c>
      <c r="AQ648"/>
      <c r="AR648"/>
      <c r="AS648"/>
      <c r="AT648"/>
      <c r="AU648"/>
      <c r="AV648" s="36"/>
      <c r="AW648" s="36"/>
    </row>
    <row r="649" spans="1:49">
      <c r="A649" s="4"/>
      <c r="B649" s="19"/>
      <c r="C649" s="19"/>
      <c r="D649" s="19"/>
      <c r="E649" s="19"/>
      <c r="F649" s="19" t="s">
        <v>2247</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592"/>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43"/>
      <c r="AO650" s="4">
        <f>IF($C$669="yes",2,0)</f>
        <v>0</v>
      </c>
    </row>
    <row r="651" spans="1:49">
      <c r="A651" s="4"/>
      <c r="B651" s="19"/>
      <c r="C651" s="1069" t="s">
        <v>325</v>
      </c>
      <c r="D651" s="1069"/>
      <c r="E651" s="163" t="s">
        <v>23</v>
      </c>
      <c r="F651" s="19" t="s">
        <v>2248</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1928</v>
      </c>
      <c r="AH651" s="19"/>
      <c r="AI651" s="19"/>
      <c r="AJ651" s="4"/>
      <c r="AK651" s="4"/>
      <c r="AL651" s="4"/>
      <c r="AM651" s="4"/>
      <c r="AO651" s="25">
        <f>SUM(AO644:AO650)</f>
        <v>4</v>
      </c>
      <c r="AP651" s="563" t="s">
        <v>2249</v>
      </c>
    </row>
    <row r="652" spans="1:49">
      <c r="A652" s="4"/>
      <c r="B652" s="19"/>
      <c r="C652" s="4"/>
      <c r="D652" s="19"/>
      <c r="E652" s="4"/>
      <c r="F652" s="19" t="s">
        <v>2250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21"/>
    </row>
    <row r="653" spans="1:49">
      <c r="A653" s="4"/>
      <c r="B653" s="19"/>
      <c r="C653" s="4"/>
      <c r="D653" s="19"/>
      <c r="E653" s="4"/>
      <c r="F653" s="19" t="s">
        <v>2251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5"/>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65"/>
      <c r="AO654" s="21"/>
    </row>
    <row r="655" spans="1:49">
      <c r="A655" s="4"/>
      <c r="B655" s="19"/>
      <c r="C655" s="1069" t="s">
        <v>826</v>
      </c>
      <c r="D655" s="1069"/>
      <c r="E655" s="163" t="s">
        <v>43</v>
      </c>
      <c r="F655" s="427" t="s">
        <v>2252</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1928</v>
      </c>
      <c r="AH655" s="19"/>
      <c r="AI655" s="19"/>
      <c r="AJ655" s="4"/>
      <c r="AK655" s="4"/>
      <c r="AL655" s="4"/>
      <c r="AM655" s="4"/>
      <c r="AN655" s="65"/>
      <c r="AO655" s="21"/>
    </row>
    <row r="656" spans="1:49">
      <c r="A656" s="4"/>
      <c r="B656" s="19"/>
      <c r="C656" s="4"/>
      <c r="D656" s="19"/>
      <c r="E656" s="4"/>
      <c r="F656" s="19" t="s">
        <v>2253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2254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69" t="s">
        <v>325</v>
      </c>
      <c r="D659" s="1069"/>
      <c r="E659" s="163" t="s">
        <v>1904</v>
      </c>
      <c r="F659" s="19" t="s">
        <v>2255</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1947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069" t="s">
        <v>325</v>
      </c>
      <c r="D661" s="1069"/>
      <c r="E661" s="163" t="s">
        <v>1906</v>
      </c>
      <c r="F661" s="19" t="s">
        <v>2256</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1928</v>
      </c>
      <c r="AH661" s="19"/>
      <c r="AI661" s="19"/>
      <c r="AJ661" s="4"/>
      <c r="AK661" s="4"/>
      <c r="AL661" s="4"/>
      <c r="AM661" s="4"/>
    </row>
    <row r="662" spans="1:41">
      <c r="A662" s="4"/>
      <c r="B662" s="19"/>
      <c r="C662" s="4"/>
      <c r="D662" s="19"/>
      <c r="E662" s="4"/>
      <c r="F662" s="428" t="s">
        <v>2257</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43"/>
      <c r="AO662" s="21"/>
    </row>
    <row r="663" spans="1:41">
      <c r="A663" s="4"/>
      <c r="B663" s="19"/>
      <c r="C663" s="4"/>
      <c r="D663" s="19"/>
      <c r="E663" s="4"/>
      <c r="F663" s="428" t="s">
        <v>2258</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43"/>
      <c r="AO663" s="21"/>
    </row>
    <row r="664" spans="1:41" ht="14.25" customHeight="1">
      <c r="A664" s="4"/>
      <c r="B664" s="19"/>
      <c r="C664" s="19"/>
      <c r="D664" s="19"/>
      <c r="E664" s="19"/>
      <c r="F664" s="19" t="s">
        <v>2259</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65"/>
      <c r="AO665" s="21"/>
    </row>
    <row r="666" spans="1:41">
      <c r="A666" s="4"/>
      <c r="B666" s="19"/>
      <c r="C666" s="1069" t="s">
        <v>325</v>
      </c>
      <c r="D666" s="1069"/>
      <c r="E666" s="163" t="s">
        <v>1929</v>
      </c>
      <c r="F666" s="19" t="s">
        <v>2260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1947</v>
      </c>
      <c r="AH666" s="19"/>
      <c r="AI666" s="19"/>
      <c r="AJ666" s="4"/>
      <c r="AK666" s="4"/>
      <c r="AL666" s="4"/>
      <c r="AM666" s="4"/>
      <c r="AN666" s="65"/>
      <c r="AO666" s="21"/>
    </row>
    <row r="667" spans="1:41">
      <c r="A667" s="4"/>
      <c r="B667" s="19"/>
      <c r="C667" s="19"/>
      <c r="D667" s="19"/>
      <c r="E667" s="19"/>
      <c r="F667" s="19" t="s">
        <v>2261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1">
      <c r="A669" s="4"/>
      <c r="B669" s="19"/>
      <c r="C669" s="1069" t="s">
        <v>325</v>
      </c>
      <c r="D669" s="1069"/>
      <c r="E669" s="163" t="s">
        <v>1931</v>
      </c>
      <c r="F669" s="1582" t="s">
        <v>2262</v>
      </c>
      <c r="G669" s="1582"/>
      <c r="H669" s="1582"/>
      <c r="I669" s="1582"/>
      <c r="J669" s="1582"/>
      <c r="K669" s="1582"/>
      <c r="L669" s="1582"/>
      <c r="M669" s="1582"/>
      <c r="N669" s="1582"/>
      <c r="O669" s="1582"/>
      <c r="P669" s="1582"/>
      <c r="Q669" s="1582"/>
      <c r="R669" s="1582"/>
      <c r="S669" s="1582"/>
      <c r="T669" s="1582"/>
      <c r="U669" s="1582"/>
      <c r="V669" s="1582"/>
      <c r="W669" s="1582"/>
      <c r="X669" s="1582"/>
      <c r="Y669" s="1582"/>
      <c r="Z669" s="1582"/>
      <c r="AA669" s="1582"/>
      <c r="AB669" s="1582"/>
      <c r="AC669" s="1582"/>
      <c r="AD669" s="1582"/>
      <c r="AE669" s="19"/>
      <c r="AF669" s="19"/>
      <c r="AG669" s="3" t="s">
        <v>1928</v>
      </c>
      <c r="AH669" s="19"/>
      <c r="AI669" s="19"/>
      <c r="AJ669" s="4"/>
      <c r="AK669" s="4"/>
      <c r="AL669" s="4"/>
      <c r="AM669" s="4"/>
      <c r="AN669" s="65"/>
      <c r="AO669" s="21"/>
    </row>
    <row r="670" spans="1:41">
      <c r="A670" s="4"/>
      <c r="B670" s="19"/>
      <c r="C670" s="19"/>
      <c r="D670" s="19"/>
      <c r="E670" s="19"/>
      <c r="F670" s="1582"/>
      <c r="G670" s="1582"/>
      <c r="H670" s="1582"/>
      <c r="I670" s="1582"/>
      <c r="J670" s="1582"/>
      <c r="K670" s="1582"/>
      <c r="L670" s="1582"/>
      <c r="M670" s="1582"/>
      <c r="N670" s="1582"/>
      <c r="O670" s="1582"/>
      <c r="P670" s="1582"/>
      <c r="Q670" s="1582"/>
      <c r="R670" s="1582"/>
      <c r="S670" s="1582"/>
      <c r="T670" s="1582"/>
      <c r="U670" s="1582"/>
      <c r="V670" s="1582"/>
      <c r="W670" s="1582"/>
      <c r="X670" s="1582"/>
      <c r="Y670" s="1582"/>
      <c r="Z670" s="1582"/>
      <c r="AA670" s="1582"/>
      <c r="AB670" s="1582"/>
      <c r="AC670" s="1582"/>
      <c r="AD670" s="1582"/>
      <c r="AE670" s="19"/>
      <c r="AF670" s="19"/>
      <c r="AG670" s="19"/>
      <c r="AH670" s="19"/>
      <c r="AI670" s="19"/>
      <c r="AJ670" s="4"/>
      <c r="AK670" s="4"/>
      <c r="AL670" s="4"/>
      <c r="AM670" s="4"/>
      <c r="AN670" s="65"/>
      <c r="AO670" s="21"/>
    </row>
    <row r="671" spans="1:41" ht="0.75" customHeight="1">
      <c r="A671" s="4"/>
      <c r="B671" s="19"/>
      <c r="C671" s="19"/>
      <c r="D671" s="19"/>
      <c r="E671" s="19"/>
      <c r="F671" s="1582"/>
      <c r="G671" s="1582"/>
      <c r="H671" s="1582"/>
      <c r="I671" s="1582"/>
      <c r="J671" s="1582"/>
      <c r="K671" s="1582"/>
      <c r="L671" s="1582"/>
      <c r="M671" s="1582"/>
      <c r="N671" s="1582"/>
      <c r="O671" s="1582"/>
      <c r="P671" s="1582"/>
      <c r="Q671" s="1582"/>
      <c r="R671" s="1582"/>
      <c r="S671" s="1582"/>
      <c r="T671" s="1582"/>
      <c r="U671" s="1582"/>
      <c r="V671" s="1582"/>
      <c r="W671" s="1582"/>
      <c r="X671" s="1582"/>
      <c r="Y671" s="1582"/>
      <c r="Z671" s="1582"/>
      <c r="AA671" s="1582"/>
      <c r="AB671" s="1582"/>
      <c r="AC671" s="1582"/>
      <c r="AD671" s="1582"/>
      <c r="AE671" s="19"/>
      <c r="AF671" s="19"/>
      <c r="AG671" s="19"/>
      <c r="AH671" s="19"/>
      <c r="AI671" s="19"/>
      <c r="AJ671" s="4"/>
      <c r="AK671" s="4"/>
      <c r="AL671" s="4"/>
      <c r="AM671" s="4"/>
      <c r="AN671" s="65"/>
      <c r="AO671" s="21"/>
    </row>
    <row r="672" spans="1:41" ht="12.75" hidden="1" customHeight="1">
      <c r="A672" s="4"/>
      <c r="B672" s="19"/>
      <c r="C672" s="19"/>
      <c r="D672" s="19"/>
      <c r="G672" s="19"/>
      <c r="H672" s="26"/>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c r="AF672" s="26"/>
      <c r="AG672" s="19"/>
      <c r="AH672" s="19"/>
      <c r="AI672" s="19"/>
      <c r="AJ672" s="4"/>
      <c r="AK672" s="4"/>
      <c r="AL672" s="4"/>
      <c r="AM672" s="4"/>
      <c r="AN672" s="65"/>
      <c r="AO672" s="21"/>
    </row>
    <row r="673" spans="1:60" hidden="1">
      <c r="A673" s="4"/>
      <c r="B673" s="19"/>
      <c r="C673" s="19"/>
      <c r="D673" s="19"/>
      <c r="E673" s="19"/>
      <c r="F673" s="19"/>
      <c r="G673" s="19"/>
      <c r="H673" s="26"/>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c r="AF673" s="26"/>
      <c r="AG673" s="19"/>
      <c r="AH673" s="19"/>
      <c r="AI673" s="19"/>
      <c r="AJ673" s="4"/>
      <c r="AK673" s="4"/>
      <c r="AL673" s="4"/>
      <c r="AM673" s="4"/>
      <c r="AN673" s="65"/>
      <c r="AO673" s="21"/>
    </row>
    <row r="674" spans="1:60" hidden="1">
      <c r="A674" s="4"/>
      <c r="B674" s="19"/>
      <c r="C674" s="19"/>
      <c r="D674" s="19"/>
      <c r="E674" s="19"/>
      <c r="F674" s="19"/>
      <c r="H674" s="26"/>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c r="AF674" s="26"/>
      <c r="AG674" s="19"/>
      <c r="AH674" s="19"/>
      <c r="AI674" s="19"/>
      <c r="AJ674" s="4"/>
      <c r="AK674" s="4"/>
      <c r="AL674" s="4"/>
      <c r="AM674" s="4"/>
      <c r="AN674" s="65"/>
      <c r="AO674" s="21"/>
    </row>
    <row r="675" spans="1:60" hidden="1">
      <c r="A675" s="4"/>
      <c r="B675" s="19"/>
      <c r="C675" s="19"/>
      <c r="D675" s="19"/>
      <c r="E675" s="19"/>
      <c r="F675" s="19"/>
      <c r="G675" s="19"/>
      <c r="H675" s="19"/>
      <c r="AG675" s="19"/>
      <c r="AH675" s="19"/>
      <c r="AI675" s="19"/>
      <c r="AJ675" s="4"/>
      <c r="AK675" s="4"/>
      <c r="AL675" s="4"/>
      <c r="AM675" s="4"/>
      <c r="AN675" s="65"/>
      <c r="AO675" s="21"/>
    </row>
    <row r="676" spans="1:60" hidden="1">
      <c r="A676" s="4"/>
      <c r="B676" s="19"/>
      <c r="C676" s="19"/>
      <c r="D676" s="19"/>
      <c r="E676" s="19"/>
      <c r="F676" s="19"/>
      <c r="G676" s="19"/>
      <c r="H676" s="19"/>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H677" s="19"/>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G678" s="19"/>
      <c r="H678" s="19"/>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c r="AF679" s="26"/>
      <c r="AG679" s="19"/>
      <c r="AH679" s="19"/>
      <c r="AI679" s="19"/>
      <c r="AJ679" s="4"/>
      <c r="AK679" s="4"/>
      <c r="AL679" s="4"/>
      <c r="AM679" s="4"/>
      <c r="AN679" s="65"/>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65"/>
      <c r="AO680" s="21"/>
      <c r="BD680" s="21"/>
      <c r="BE680" s="21"/>
      <c r="BF680" s="21"/>
      <c r="BG680" s="21"/>
      <c r="BH680" s="21"/>
    </row>
    <row r="681" spans="1:60" hidden="1">
      <c r="A681" s="4"/>
      <c r="B681" s="19"/>
      <c r="C681" s="19"/>
      <c r="D681" s="19"/>
      <c r="E681" s="19"/>
      <c r="F681" s="19"/>
      <c r="L681" s="32"/>
      <c r="M681" s="32"/>
      <c r="N681" s="32"/>
      <c r="O681" s="32"/>
      <c r="P681" s="32"/>
      <c r="AG681" s="19"/>
      <c r="AH681" s="19"/>
      <c r="AI681" s="19"/>
      <c r="AJ681" s="4"/>
      <c r="AK681" s="4"/>
      <c r="AL681" s="4"/>
      <c r="AM681" s="4"/>
      <c r="AN681" s="65"/>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55"/>
      <c r="B684" s="156"/>
      <c r="C684" s="77"/>
      <c r="D684" s="104"/>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53"/>
      <c r="AJ684" s="53" t="s">
        <v>2263</v>
      </c>
      <c r="AK684" s="1192">
        <f>$AO$651</f>
        <v>4</v>
      </c>
      <c r="AL684" s="1193"/>
      <c r="AM684" s="1195"/>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55"/>
      <c r="AJ685" s="414"/>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77"/>
      <c r="AP686" s="177"/>
      <c r="AQ686" s="177"/>
    </row>
    <row r="687" spans="1:60">
      <c r="A687" s="1729" t="s">
        <v>2264</v>
      </c>
      <c r="B687" s="1729"/>
      <c r="C687" s="1729"/>
      <c r="D687" s="1729"/>
      <c r="E687" s="1729"/>
      <c r="F687" s="1729"/>
      <c r="G687" s="1729"/>
      <c r="H687" s="1729"/>
      <c r="I687" s="1729"/>
      <c r="J687" s="1729"/>
      <c r="K687" s="1729"/>
      <c r="L687" s="1729"/>
      <c r="M687" s="1729"/>
      <c r="N687" s="1729"/>
      <c r="O687" s="1729"/>
      <c r="P687" s="1729"/>
      <c r="Q687" s="1729"/>
      <c r="R687" s="1729"/>
      <c r="S687" s="1729"/>
      <c r="T687" s="1729"/>
      <c r="U687" s="1729"/>
      <c r="V687" s="1729"/>
      <c r="W687" s="1729"/>
      <c r="X687" s="1729"/>
      <c r="Y687" s="1729"/>
      <c r="Z687" s="1729"/>
      <c r="AA687" s="1729"/>
      <c r="AB687" s="1729"/>
      <c r="AC687" s="1729"/>
      <c r="AD687" s="1729"/>
      <c r="AE687" s="1729"/>
      <c r="AF687" s="1729"/>
      <c r="AG687" s="1729"/>
      <c r="AH687" s="1729"/>
      <c r="AI687" s="1729"/>
      <c r="AJ687" s="1729"/>
      <c r="AK687" s="1729"/>
      <c r="AL687" s="1729"/>
      <c r="AM687" s="1729"/>
      <c r="AO687" s="177"/>
      <c r="AP687" s="177"/>
      <c r="AQ687" s="177"/>
    </row>
    <row r="688" spans="1:60">
      <c r="A688" s="1730"/>
      <c r="B688" s="1730"/>
      <c r="C688" s="1730"/>
      <c r="D688" s="1730"/>
      <c r="E688" s="1730"/>
      <c r="F688" s="1730"/>
      <c r="G688" s="1730"/>
      <c r="H688" s="1730"/>
      <c r="I688" s="1730"/>
      <c r="J688" s="1730"/>
      <c r="K688" s="1730"/>
      <c r="L688" s="1730"/>
      <c r="M688" s="1730"/>
      <c r="N688" s="1730"/>
      <c r="O688" s="1730"/>
      <c r="P688" s="1730"/>
      <c r="Q688" s="1730"/>
      <c r="R688" s="1730"/>
      <c r="S688" s="1730"/>
      <c r="T688" s="1730"/>
      <c r="U688" s="1730"/>
      <c r="V688" s="1730"/>
      <c r="W688" s="1730"/>
      <c r="X688" s="1730"/>
      <c r="Y688" s="1730"/>
      <c r="Z688" s="1730"/>
      <c r="AA688" s="1730"/>
      <c r="AB688" s="1730"/>
      <c r="AC688" s="1730"/>
      <c r="AD688" s="1730"/>
      <c r="AE688" s="1730"/>
      <c r="AF688" s="1730"/>
      <c r="AG688" s="1730"/>
      <c r="AH688" s="1730"/>
      <c r="AI688" s="1730"/>
      <c r="AJ688" s="1730"/>
      <c r="AK688" s="1730"/>
      <c r="AL688" s="1730"/>
      <c r="AM688" s="1730"/>
      <c r="AP688" s="177"/>
      <c r="AQ688" s="177"/>
    </row>
    <row r="689" spans="1:43">
      <c r="A689" s="4"/>
      <c r="B689" s="164"/>
      <c r="C689" s="165"/>
      <c r="D689" s="165"/>
      <c r="E689" s="165"/>
      <c r="F689" s="165"/>
      <c r="G689" s="165"/>
      <c r="H689" s="165"/>
      <c r="I689" s="83"/>
      <c r="J689" s="83"/>
      <c r="K689" s="83"/>
      <c r="L689" s="83"/>
      <c r="M689" s="83"/>
      <c r="N689" s="83"/>
      <c r="O689" s="83"/>
      <c r="P689" s="83"/>
      <c r="Q689" s="83"/>
      <c r="S689" s="3"/>
      <c r="T689" s="3"/>
      <c r="U689" s="3"/>
      <c r="V689" s="3"/>
      <c r="W689" s="3"/>
      <c r="X689" s="3"/>
      <c r="Y689" s="3"/>
      <c r="Z689" s="3"/>
      <c r="AA689" s="3"/>
      <c r="AB689" s="3"/>
      <c r="AC689" s="3"/>
      <c r="AD689" s="3"/>
      <c r="AE689" s="3"/>
      <c r="AG689" s="3"/>
      <c r="AH689" s="3"/>
      <c r="AI689" s="3"/>
      <c r="AJ689" s="3"/>
      <c r="AK689" s="4"/>
      <c r="AL689" s="4"/>
      <c r="AM689" s="23"/>
      <c r="AO689" s="398">
        <f>SUM(AO690:AO691)</f>
        <v>25</v>
      </c>
      <c r="AQ689" s="177"/>
    </row>
    <row r="690" spans="1:43">
      <c r="A690" s="1513" t="s">
        <v>2265</v>
      </c>
      <c r="B690" s="1513"/>
      <c r="C690" s="1513"/>
      <c r="D690" s="1513"/>
      <c r="E690" s="1513"/>
      <c r="F690" s="1513"/>
      <c r="G690" s="1513"/>
      <c r="H690" s="1513"/>
      <c r="I690" s="1513"/>
      <c r="J690" s="1513"/>
      <c r="K690" s="1513"/>
      <c r="L690" s="1513"/>
      <c r="M690" s="1513"/>
      <c r="N690" s="1513"/>
      <c r="O690" s="1513"/>
      <c r="P690" s="1513"/>
      <c r="Q690" s="1513"/>
      <c r="R690" s="1513"/>
      <c r="S690" s="1513"/>
      <c r="T690" s="1513"/>
      <c r="U690" s="1513"/>
      <c r="V690" s="1513"/>
      <c r="W690" s="1513"/>
      <c r="X690" s="1513"/>
      <c r="Y690" s="1513"/>
      <c r="Z690" s="1513"/>
      <c r="AA690" s="1513"/>
      <c r="AB690" s="1513"/>
      <c r="AC690" s="1513"/>
      <c r="AD690" s="1513"/>
      <c r="AE690" s="1513"/>
      <c r="AF690" s="1513"/>
      <c r="AG690" s="1513"/>
      <c r="AH690" s="1513"/>
      <c r="AI690" s="1513"/>
      <c r="AJ690" s="1513"/>
      <c r="AK690" s="1513"/>
      <c r="AL690" s="1513"/>
      <c r="AM690" s="1513"/>
      <c r="AO690" s="177">
        <f>IF(T699&gt;15,15,T699)</f>
        <v>15</v>
      </c>
      <c r="AP690" s="177"/>
      <c r="AQ690" s="177"/>
    </row>
    <row r="691" spans="1:43">
      <c r="A691" s="1513" t="s">
        <v>2266</v>
      </c>
      <c r="B691" s="1513"/>
      <c r="C691" s="1513"/>
      <c r="D691" s="1513"/>
      <c r="E691" s="1513"/>
      <c r="F691" s="1513"/>
      <c r="G691" s="1513"/>
      <c r="H691" s="1513"/>
      <c r="I691" s="1513"/>
      <c r="J691" s="1513"/>
      <c r="K691" s="1513"/>
      <c r="L691" s="1513"/>
      <c r="M691" s="1513"/>
      <c r="N691" s="1513"/>
      <c r="O691" s="1513"/>
      <c r="P691" s="1513"/>
      <c r="Q691" s="1513"/>
      <c r="R691" s="1513"/>
      <c r="S691" s="1513"/>
      <c r="T691" s="1513"/>
      <c r="U691" s="1513"/>
      <c r="V691" s="1513"/>
      <c r="W691" s="1513"/>
      <c r="X691" s="1513"/>
      <c r="Y691" s="1513"/>
      <c r="Z691" s="1513"/>
      <c r="AA691" s="1513"/>
      <c r="AB691" s="1513"/>
      <c r="AC691" s="1513"/>
      <c r="AD691" s="1513"/>
      <c r="AE691" s="1513"/>
      <c r="AF691" s="1513"/>
      <c r="AG691" s="1513"/>
      <c r="AH691" s="1513"/>
      <c r="AI691" s="1513"/>
      <c r="AJ691" s="1513"/>
      <c r="AK691" s="1513"/>
      <c r="AL691" s="1513"/>
      <c r="AM691" s="1513"/>
      <c r="AO691" s="177">
        <f>IF(T700&gt;10,10,T700)</f>
        <v>10</v>
      </c>
      <c r="AP691" s="177"/>
      <c r="AQ691" s="177"/>
    </row>
    <row r="692" spans="1:43">
      <c r="A692" s="242"/>
      <c r="B692" s="184"/>
      <c r="C692" s="184"/>
      <c r="D692" s="184"/>
      <c r="E692" s="184"/>
      <c r="F692" s="184"/>
      <c r="G692" s="184"/>
      <c r="H692" s="184"/>
      <c r="I692" s="184"/>
      <c r="J692" s="184"/>
      <c r="K692" s="184"/>
      <c r="L692" s="184"/>
      <c r="M692" s="184"/>
      <c r="N692" s="184"/>
      <c r="O692" s="184"/>
      <c r="P692" s="184"/>
      <c r="Q692" s="184"/>
      <c r="R692" s="184"/>
      <c r="S692" s="185"/>
      <c r="T692" s="1127" t="s">
        <v>2267</v>
      </c>
      <c r="U692" s="1128"/>
      <c r="V692" s="1128"/>
      <c r="W692" s="1128"/>
      <c r="X692" s="1128"/>
      <c r="Y692" s="1451"/>
      <c r="Z692" s="1127" t="s">
        <v>2268</v>
      </c>
      <c r="AA692" s="1128"/>
      <c r="AB692" s="1128"/>
      <c r="AC692" s="1128"/>
      <c r="AD692" s="1128"/>
      <c r="AE692" s="1451"/>
      <c r="AF692" s="1127" t="s">
        <v>2269</v>
      </c>
      <c r="AG692" s="1128"/>
      <c r="AH692" s="1128"/>
      <c r="AI692" s="1128"/>
      <c r="AJ692" s="1128"/>
      <c r="AK692" s="1451"/>
      <c r="AL692" s="686"/>
      <c r="AM692" s="20"/>
    </row>
    <row r="693" spans="1:43">
      <c r="A693" s="195"/>
      <c r="B693" s="148"/>
      <c r="C693" s="148"/>
      <c r="D693" s="148"/>
      <c r="E693" s="148"/>
      <c r="F693" s="148"/>
      <c r="G693" s="148"/>
      <c r="H693" s="148"/>
      <c r="I693" s="148"/>
      <c r="J693" s="148"/>
      <c r="K693" s="148"/>
      <c r="L693" s="148"/>
      <c r="M693" s="148"/>
      <c r="N693" s="148"/>
      <c r="O693" s="148"/>
      <c r="P693" s="148"/>
      <c r="Q693" s="148"/>
      <c r="R693" s="148"/>
      <c r="S693" s="150"/>
      <c r="T693" s="1131"/>
      <c r="U693" s="1132"/>
      <c r="V693" s="1132"/>
      <c r="W693" s="1132"/>
      <c r="X693" s="1132"/>
      <c r="Y693" s="1220"/>
      <c r="Z693" s="1131"/>
      <c r="AA693" s="1132"/>
      <c r="AB693" s="1132"/>
      <c r="AC693" s="1132"/>
      <c r="AD693" s="1132"/>
      <c r="AE693" s="1220"/>
      <c r="AF693" s="1131"/>
      <c r="AG693" s="1132"/>
      <c r="AH693" s="1132"/>
      <c r="AI693" s="1132"/>
      <c r="AJ693" s="1132"/>
      <c r="AK693" s="1220"/>
      <c r="AL693" s="686"/>
      <c r="AM693" s="20"/>
    </row>
    <row r="694" spans="1:43">
      <c r="A694" s="515" t="s">
        <v>854</v>
      </c>
      <c r="B694" s="1622" t="s">
        <v>2270</v>
      </c>
      <c r="C694" s="1622"/>
      <c r="D694" s="1622"/>
      <c r="E694" s="1622"/>
      <c r="F694" s="1622"/>
      <c r="G694" s="1622"/>
      <c r="H694" s="1622"/>
      <c r="I694" s="1622"/>
      <c r="J694" s="1622"/>
      <c r="K694" s="1622"/>
      <c r="L694" s="1622"/>
      <c r="M694" s="1622"/>
      <c r="N694" s="1622"/>
      <c r="O694" s="1622"/>
      <c r="P694" s="1622"/>
      <c r="Q694" s="1622"/>
      <c r="R694" s="1622"/>
      <c r="S694" s="1623"/>
      <c r="T694" s="1646">
        <f>SUM(T695:Y696)</f>
        <v>10</v>
      </c>
      <c r="U694" s="1646"/>
      <c r="V694" s="1646"/>
      <c r="W694" s="1646"/>
      <c r="X694" s="1646"/>
      <c r="Y694" s="1646"/>
      <c r="Z694" s="1177">
        <v>10</v>
      </c>
      <c r="AA694" s="1177"/>
      <c r="AB694" s="1177"/>
      <c r="AC694" s="1177"/>
      <c r="AD694" s="1177"/>
      <c r="AE694" s="1177"/>
      <c r="AF694" s="1177">
        <f>IF(T694&gt;Z694,Z694,T694)</f>
        <v>10</v>
      </c>
      <c r="AG694" s="1177"/>
      <c r="AH694" s="1177"/>
      <c r="AI694" s="1177"/>
      <c r="AJ694" s="1177"/>
      <c r="AK694" s="1177"/>
      <c r="AL694" s="686"/>
      <c r="AM694" s="20"/>
      <c r="AO694" s="4">
        <f>IF(T703&gt;50,50,T703)</f>
        <v>50</v>
      </c>
    </row>
    <row r="695" spans="1:43">
      <c r="A695" s="533"/>
      <c r="B695" s="534"/>
      <c r="C695" s="539"/>
      <c r="D695" s="261" t="s">
        <v>2271</v>
      </c>
      <c r="E695" s="1624" t="s">
        <v>2272</v>
      </c>
      <c r="F695" s="1624"/>
      <c r="G695" s="1624"/>
      <c r="H695" s="1624"/>
      <c r="I695" s="1624"/>
      <c r="J695" s="1624"/>
      <c r="K695" s="1624"/>
      <c r="L695" s="1624"/>
      <c r="M695" s="1624"/>
      <c r="N695" s="1624"/>
      <c r="O695" s="1624"/>
      <c r="P695" s="1624"/>
      <c r="Q695" s="1624"/>
      <c r="R695" s="1624"/>
      <c r="S695" s="1625"/>
      <c r="T695" s="1626">
        <f>AJ31</f>
        <v>7</v>
      </c>
      <c r="U695" s="1626"/>
      <c r="V695" s="1626"/>
      <c r="W695" s="1626"/>
      <c r="X695" s="1626"/>
      <c r="Y695" s="1626"/>
      <c r="Z695" s="1190">
        <v>7</v>
      </c>
      <c r="AA695" s="1190"/>
      <c r="AB695" s="1190"/>
      <c r="AC695" s="1190"/>
      <c r="AD695" s="1190"/>
      <c r="AE695" s="1190"/>
      <c r="AF695" s="1731"/>
      <c r="AG695" s="1731"/>
      <c r="AH695" s="1731"/>
      <c r="AI695" s="1731"/>
      <c r="AJ695" s="1731"/>
      <c r="AK695" s="1731"/>
      <c r="AL695" s="686"/>
      <c r="AM695" s="20"/>
    </row>
    <row r="696" spans="1:43">
      <c r="A696" s="535"/>
      <c r="B696" s="534"/>
      <c r="C696" s="534"/>
      <c r="D696" s="261" t="s">
        <v>2273</v>
      </c>
      <c r="E696" s="1624" t="s">
        <v>2274</v>
      </c>
      <c r="F696" s="1624"/>
      <c r="G696" s="1624"/>
      <c r="H696" s="1624"/>
      <c r="I696" s="1624"/>
      <c r="J696" s="1624"/>
      <c r="K696" s="1624"/>
      <c r="L696" s="1624"/>
      <c r="M696" s="1624"/>
      <c r="N696" s="1624"/>
      <c r="O696" s="1624"/>
      <c r="P696" s="1624"/>
      <c r="Q696" s="1624"/>
      <c r="R696" s="1624"/>
      <c r="S696" s="1625"/>
      <c r="T696" s="1626">
        <f>AJ47</f>
        <v>3</v>
      </c>
      <c r="U696" s="1626"/>
      <c r="V696" s="1626"/>
      <c r="W696" s="1626"/>
      <c r="X696" s="1626"/>
      <c r="Y696" s="1626"/>
      <c r="Z696" s="1190">
        <v>3</v>
      </c>
      <c r="AA696" s="1190"/>
      <c r="AB696" s="1190"/>
      <c r="AC696" s="1190"/>
      <c r="AD696" s="1190"/>
      <c r="AE696" s="1190"/>
      <c r="AF696" s="1731"/>
      <c r="AG696" s="1731"/>
      <c r="AH696" s="1731"/>
      <c r="AI696" s="1731"/>
      <c r="AJ696" s="1731"/>
      <c r="AK696" s="1731"/>
      <c r="AL696" s="686"/>
      <c r="AM696" s="20"/>
    </row>
    <row r="697" spans="1:43">
      <c r="A697" s="515" t="s">
        <v>889</v>
      </c>
      <c r="B697" s="1622" t="s">
        <v>2275</v>
      </c>
      <c r="C697" s="1622"/>
      <c r="D697" s="1622"/>
      <c r="E697" s="1622"/>
      <c r="F697" s="1622"/>
      <c r="G697" s="1622"/>
      <c r="H697" s="1622"/>
      <c r="I697" s="1622"/>
      <c r="J697" s="1622"/>
      <c r="K697" s="1622"/>
      <c r="L697" s="1622"/>
      <c r="M697" s="1622"/>
      <c r="N697" s="1622"/>
      <c r="O697" s="1622"/>
      <c r="P697" s="1622"/>
      <c r="Q697" s="1622"/>
      <c r="R697" s="1622"/>
      <c r="S697" s="1623"/>
      <c r="T697" s="1646">
        <f>AK68</f>
        <v>10</v>
      </c>
      <c r="U697" s="1646"/>
      <c r="V697" s="1646"/>
      <c r="W697" s="1646"/>
      <c r="X697" s="1646"/>
      <c r="Y697" s="1646"/>
      <c r="Z697" s="1177">
        <v>10</v>
      </c>
      <c r="AA697" s="1177"/>
      <c r="AB697" s="1177"/>
      <c r="AC697" s="1177"/>
      <c r="AD697" s="1177"/>
      <c r="AE697" s="1177"/>
      <c r="AF697" s="1177">
        <f>IF(T697&gt;Z697,Z697,T697)</f>
        <v>10</v>
      </c>
      <c r="AG697" s="1177"/>
      <c r="AH697" s="1177"/>
      <c r="AI697" s="1177"/>
      <c r="AJ697" s="1177"/>
      <c r="AK697" s="1177"/>
      <c r="AL697" s="686"/>
      <c r="AM697" s="20"/>
    </row>
    <row r="698" spans="1:43">
      <c r="A698" s="515" t="s">
        <v>970</v>
      </c>
      <c r="B698" s="1622" t="s">
        <v>2276</v>
      </c>
      <c r="C698" s="1622"/>
      <c r="D698" s="1622"/>
      <c r="E698" s="1622"/>
      <c r="F698" s="1622"/>
      <c r="G698" s="1622"/>
      <c r="H698" s="1622"/>
      <c r="I698" s="1622"/>
      <c r="J698" s="1622"/>
      <c r="K698" s="1622"/>
      <c r="L698" s="1622"/>
      <c r="M698" s="1622"/>
      <c r="N698" s="1622"/>
      <c r="O698" s="1622"/>
      <c r="P698" s="1622"/>
      <c r="Q698" s="1622"/>
      <c r="R698" s="1622"/>
      <c r="S698" s="1623"/>
      <c r="T698" s="1646">
        <f>AO689</f>
        <v>25</v>
      </c>
      <c r="U698" s="1646">
        <f>IF(AND(AND(A699&gt;15,15+A700),A700&gt;10,A699+10),A698,0)</f>
        <v>0</v>
      </c>
      <c r="V698" s="1646">
        <f>IF(AND(AND(B699&gt;15,15+B700),B700&gt;10,B699+10),#REF!,0)</f>
        <v>0</v>
      </c>
      <c r="W698" s="1646">
        <f>IF(AND(AND(C699&gt;15,15+C700),C700&gt;10,C699+10),B698,0)</f>
        <v>0</v>
      </c>
      <c r="X698" s="1646" t="e">
        <f>IF(AND(AND(D699&gt;15,15+D700),D700&gt;10,D699+10),D698,0)</f>
        <v>#VALUE!</v>
      </c>
      <c r="Y698" s="1646" t="e">
        <f>IF(AND(AND(E699&gt;15,15+E700),E700&gt;10,E699+10),E698,0)</f>
        <v>#VALUE!</v>
      </c>
      <c r="Z698" s="1177">
        <v>25</v>
      </c>
      <c r="AA698" s="1177"/>
      <c r="AB698" s="1177"/>
      <c r="AC698" s="1177"/>
      <c r="AD698" s="1177"/>
      <c r="AE698" s="1177"/>
      <c r="AF698" s="1177">
        <f>IF(T698&gt;Z698,Z698,T698)</f>
        <v>25</v>
      </c>
      <c r="AG698" s="1177"/>
      <c r="AH698" s="1177"/>
      <c r="AI698" s="1177"/>
      <c r="AJ698" s="1177"/>
      <c r="AK698" s="1177"/>
      <c r="AL698" s="686"/>
      <c r="AM698" s="20"/>
    </row>
    <row r="699" spans="1:43" hidden="1">
      <c r="A699" s="515"/>
      <c r="B699" s="534"/>
      <c r="C699" s="534"/>
      <c r="D699" s="261" t="s">
        <v>1062</v>
      </c>
      <c r="E699" s="1624" t="s">
        <v>2277</v>
      </c>
      <c r="F699" s="1624"/>
      <c r="G699" s="1624"/>
      <c r="H699" s="1624"/>
      <c r="I699" s="1624"/>
      <c r="J699" s="1624"/>
      <c r="K699" s="1624"/>
      <c r="L699" s="1624"/>
      <c r="M699" s="1624"/>
      <c r="N699" s="1624"/>
      <c r="O699" s="1624"/>
      <c r="P699" s="1624"/>
      <c r="Q699" s="1624"/>
      <c r="R699" s="1624"/>
      <c r="S699" s="1625"/>
      <c r="T699" s="1626">
        <f>AK280</f>
        <v>16</v>
      </c>
      <c r="U699" s="1626"/>
      <c r="V699" s="1626"/>
      <c r="W699" s="1626"/>
      <c r="X699" s="1626"/>
      <c r="Y699" s="1626"/>
      <c r="Z699" s="1190">
        <v>15</v>
      </c>
      <c r="AA699" s="1190"/>
      <c r="AB699" s="1190"/>
      <c r="AC699" s="1190"/>
      <c r="AD699" s="1190"/>
      <c r="AE699" s="1190"/>
      <c r="AF699" s="1731"/>
      <c r="AG699" s="1731"/>
      <c r="AH699" s="1731"/>
      <c r="AI699" s="1731"/>
      <c r="AJ699" s="1731"/>
      <c r="AK699" s="1731"/>
      <c r="AL699" s="686"/>
      <c r="AM699" s="20"/>
    </row>
    <row r="700" spans="1:43">
      <c r="A700" s="536"/>
      <c r="B700" s="74"/>
      <c r="C700" s="74"/>
      <c r="D700" s="537" t="s">
        <v>1076</v>
      </c>
      <c r="E700" s="1624" t="s">
        <v>2278</v>
      </c>
      <c r="F700" s="1624"/>
      <c r="G700" s="1624"/>
      <c r="H700" s="1624"/>
      <c r="I700" s="1624"/>
      <c r="J700" s="1624"/>
      <c r="K700" s="1624"/>
      <c r="L700" s="1624"/>
      <c r="M700" s="1624"/>
      <c r="N700" s="1624"/>
      <c r="O700" s="1624"/>
      <c r="P700" s="1624"/>
      <c r="Q700" s="1624"/>
      <c r="R700" s="1624"/>
      <c r="S700" s="1625"/>
      <c r="T700" s="1626">
        <f>AK471</f>
        <v>10</v>
      </c>
      <c r="U700" s="1626"/>
      <c r="V700" s="1626"/>
      <c r="W700" s="1626"/>
      <c r="X700" s="1626"/>
      <c r="Y700" s="1626"/>
      <c r="Z700" s="1190">
        <v>10</v>
      </c>
      <c r="AA700" s="1190"/>
      <c r="AB700" s="1190"/>
      <c r="AC700" s="1190"/>
      <c r="AD700" s="1190"/>
      <c r="AE700" s="1190"/>
      <c r="AF700" s="1731"/>
      <c r="AG700" s="1731"/>
      <c r="AH700" s="1731"/>
      <c r="AI700" s="1731"/>
      <c r="AJ700" s="1731"/>
      <c r="AK700" s="1731"/>
      <c r="AL700" s="686"/>
      <c r="AM700" s="20"/>
    </row>
    <row r="701" spans="1:43">
      <c r="A701" s="515" t="s">
        <v>991</v>
      </c>
      <c r="B701" s="1622" t="s">
        <v>2279</v>
      </c>
      <c r="C701" s="1622"/>
      <c r="D701" s="1622"/>
      <c r="E701" s="1622"/>
      <c r="F701" s="1622"/>
      <c r="G701" s="1622"/>
      <c r="H701" s="1622"/>
      <c r="I701" s="1622"/>
      <c r="J701" s="1622"/>
      <c r="K701" s="1622"/>
      <c r="L701" s="1622"/>
      <c r="M701" s="1622"/>
      <c r="N701" s="1622"/>
      <c r="O701" s="1622"/>
      <c r="P701" s="1622"/>
      <c r="Q701" s="1622"/>
      <c r="R701" s="1622"/>
      <c r="S701" s="1623"/>
      <c r="T701" s="1646"/>
      <c r="U701" s="1646"/>
      <c r="V701" s="1646"/>
      <c r="W701" s="1646"/>
      <c r="X701" s="1646"/>
      <c r="Y701" s="1646"/>
      <c r="Z701" s="1177"/>
      <c r="AA701" s="1177"/>
      <c r="AB701" s="1177"/>
      <c r="AC701" s="1177"/>
      <c r="AD701" s="1177"/>
      <c r="AE701" s="1177"/>
      <c r="AF701" s="1177"/>
      <c r="AG701" s="1177"/>
      <c r="AH701" s="1177"/>
      <c r="AI701" s="1177"/>
      <c r="AJ701" s="1177"/>
      <c r="AK701" s="1177"/>
      <c r="AL701" s="686"/>
      <c r="AM701" s="20"/>
    </row>
    <row r="702" spans="1:43">
      <c r="A702" s="515" t="s">
        <v>991</v>
      </c>
      <c r="B702" s="1622" t="s">
        <v>2280</v>
      </c>
      <c r="C702" s="1622"/>
      <c r="D702" s="1622"/>
      <c r="E702" s="1622"/>
      <c r="F702" s="1622"/>
      <c r="G702" s="1622"/>
      <c r="H702" s="1622"/>
      <c r="I702" s="1622"/>
      <c r="J702" s="1622"/>
      <c r="K702" s="1622"/>
      <c r="L702" s="1622"/>
      <c r="M702" s="1622"/>
      <c r="N702" s="1622"/>
      <c r="O702" s="1622"/>
      <c r="P702" s="1622"/>
      <c r="Q702" s="1622"/>
      <c r="R702" s="1622"/>
      <c r="S702" s="1623"/>
      <c r="T702" s="1721">
        <f>IF(SUM(T703:Y704)&gt;52,52,SUM(T703:Y704))</f>
        <v>52</v>
      </c>
      <c r="U702" s="1722"/>
      <c r="V702" s="1722"/>
      <c r="W702" s="1722"/>
      <c r="X702" s="1722"/>
      <c r="Y702" s="1722"/>
      <c r="Z702" s="1722">
        <v>52</v>
      </c>
      <c r="AA702" s="1722"/>
      <c r="AB702" s="1722"/>
      <c r="AC702" s="1722"/>
      <c r="AD702" s="1722"/>
      <c r="AE702" s="1722"/>
      <c r="AF702" s="1722">
        <f>$AO$694+$T$704</f>
        <v>52</v>
      </c>
      <c r="AG702" s="1722"/>
      <c r="AH702" s="1722"/>
      <c r="AI702" s="1722"/>
      <c r="AJ702" s="1722"/>
      <c r="AK702" s="1722"/>
      <c r="AL702" s="686"/>
      <c r="AM702" s="20"/>
    </row>
    <row r="703" spans="1:43">
      <c r="A703" s="538"/>
      <c r="B703" s="540"/>
      <c r="C703" s="540"/>
      <c r="D703" s="541" t="s">
        <v>2281</v>
      </c>
      <c r="E703" s="1624" t="s">
        <v>2282</v>
      </c>
      <c r="F703" s="1624"/>
      <c r="G703" s="1624"/>
      <c r="H703" s="1624"/>
      <c r="I703" s="1624"/>
      <c r="J703" s="1624"/>
      <c r="K703" s="1624"/>
      <c r="L703" s="1624"/>
      <c r="M703" s="1624"/>
      <c r="N703" s="1624"/>
      <c r="O703" s="1624"/>
      <c r="P703" s="1624"/>
      <c r="Q703" s="1624"/>
      <c r="R703" s="1624"/>
      <c r="S703" s="1625"/>
      <c r="T703" s="1647">
        <f>AC589</f>
        <v>70</v>
      </c>
      <c r="U703" s="1648"/>
      <c r="V703" s="1648"/>
      <c r="W703" s="1648"/>
      <c r="X703" s="1648"/>
      <c r="Y703" s="1649"/>
      <c r="Z703" s="1647">
        <v>50</v>
      </c>
      <c r="AA703" s="1648"/>
      <c r="AB703" s="1648"/>
      <c r="AC703" s="1648"/>
      <c r="AD703" s="1648"/>
      <c r="AE703" s="1649"/>
      <c r="AF703" s="1726"/>
      <c r="AG703" s="1727"/>
      <c r="AH703" s="1727"/>
      <c r="AI703" s="1727"/>
      <c r="AJ703" s="1727"/>
      <c r="AK703" s="1728"/>
      <c r="AL703" s="686"/>
      <c r="AM703" s="4"/>
    </row>
    <row r="704" spans="1:43">
      <c r="A704" s="542"/>
      <c r="B704" s="534"/>
      <c r="C704" s="534"/>
      <c r="D704" s="261" t="s">
        <v>2283</v>
      </c>
      <c r="E704" s="1624" t="s">
        <v>2284</v>
      </c>
      <c r="F704" s="1624"/>
      <c r="G704" s="1624"/>
      <c r="H704" s="1624"/>
      <c r="I704" s="1624"/>
      <c r="J704" s="1624"/>
      <c r="K704" s="1624"/>
      <c r="L704" s="1624"/>
      <c r="M704" s="1624"/>
      <c r="N704" s="1624"/>
      <c r="O704" s="1624"/>
      <c r="P704" s="1624"/>
      <c r="Q704" s="1624"/>
      <c r="R704" s="1624"/>
      <c r="S704" s="1625"/>
      <c r="T704" s="1209">
        <f>IF(AJ613&gt;0,2,0)</f>
        <v>2</v>
      </c>
      <c r="U704" s="1210"/>
      <c r="V704" s="1210"/>
      <c r="W704" s="1210"/>
      <c r="X704" s="1210"/>
      <c r="Y704" s="1211"/>
      <c r="Z704" s="1192">
        <v>2</v>
      </c>
      <c r="AA704" s="1193"/>
      <c r="AB704" s="1193"/>
      <c r="AC704" s="1193"/>
      <c r="AD704" s="1193"/>
      <c r="AE704" s="1195"/>
      <c r="AF704" s="1742"/>
      <c r="AG704" s="1743"/>
      <c r="AH704" s="1743"/>
      <c r="AI704" s="1743"/>
      <c r="AJ704" s="1743"/>
      <c r="AK704" s="1744"/>
      <c r="AL704" s="686"/>
      <c r="AM704" s="4"/>
    </row>
    <row r="705" spans="1:39">
      <c r="A705" s="538" t="s">
        <v>1006</v>
      </c>
      <c r="B705" s="1622" t="s">
        <v>2285</v>
      </c>
      <c r="C705" s="1622"/>
      <c r="D705" s="1622"/>
      <c r="E705" s="1622"/>
      <c r="F705" s="1622"/>
      <c r="G705" s="1622"/>
      <c r="H705" s="1622"/>
      <c r="I705" s="1622"/>
      <c r="J705" s="1622"/>
      <c r="K705" s="1622"/>
      <c r="L705" s="1622"/>
      <c r="M705" s="1622"/>
      <c r="N705" s="1622"/>
      <c r="O705" s="1622"/>
      <c r="P705" s="1622"/>
      <c r="Q705" s="1622"/>
      <c r="R705" s="1622"/>
      <c r="S705" s="1623"/>
      <c r="T705" s="1646">
        <f>AK641</f>
        <v>10</v>
      </c>
      <c r="U705" s="1646"/>
      <c r="V705" s="1646"/>
      <c r="W705" s="1646"/>
      <c r="X705" s="1646"/>
      <c r="Y705" s="1646"/>
      <c r="Z705" s="1177">
        <v>10</v>
      </c>
      <c r="AA705" s="1177"/>
      <c r="AB705" s="1177"/>
      <c r="AC705" s="1177"/>
      <c r="AD705" s="1177"/>
      <c r="AE705" s="1177"/>
      <c r="AF705" s="1332">
        <f>IF(T705&gt;Z705,Z705,T705)</f>
        <v>10</v>
      </c>
      <c r="AG705" s="1333"/>
      <c r="AH705" s="1333"/>
      <c r="AI705" s="1333"/>
      <c r="AJ705" s="1333"/>
      <c r="AK705" s="1334"/>
      <c r="AL705" s="686"/>
      <c r="AM705" s="20"/>
    </row>
    <row r="706" spans="1:39">
      <c r="A706" s="538" t="s">
        <v>1016</v>
      </c>
      <c r="B706" s="1622" t="s">
        <v>2286</v>
      </c>
      <c r="C706" s="1622"/>
      <c r="D706" s="1622"/>
      <c r="E706" s="1622"/>
      <c r="F706" s="1622"/>
      <c r="G706" s="1622"/>
      <c r="H706" s="1622"/>
      <c r="I706" s="1622"/>
      <c r="J706" s="1622"/>
      <c r="K706" s="1622"/>
      <c r="L706" s="1622"/>
      <c r="M706" s="1622"/>
      <c r="N706" s="1622"/>
      <c r="O706" s="1622"/>
      <c r="P706" s="1622"/>
      <c r="Q706" s="1622"/>
      <c r="R706" s="1622"/>
      <c r="S706" s="1623"/>
      <c r="T706" s="1723">
        <f>IF(AK684&gt;2,2,AK684)</f>
        <v>2</v>
      </c>
      <c r="U706" s="1724"/>
      <c r="V706" s="1724"/>
      <c r="W706" s="1724"/>
      <c r="X706" s="1724"/>
      <c r="Y706" s="1725"/>
      <c r="Z706" s="1332">
        <v>2</v>
      </c>
      <c r="AA706" s="1333"/>
      <c r="AB706" s="1333"/>
      <c r="AC706" s="1333"/>
      <c r="AD706" s="1333"/>
      <c r="AE706" s="1334"/>
      <c r="AF706" s="1332">
        <f>IF(T706&gt;Z706,Z706,T706)</f>
        <v>2</v>
      </c>
      <c r="AG706" s="1740"/>
      <c r="AH706" s="1740"/>
      <c r="AI706" s="1740"/>
      <c r="AJ706" s="1740"/>
      <c r="AK706" s="1741"/>
      <c r="AL706" s="3"/>
      <c r="AM706" s="20"/>
    </row>
    <row r="707" spans="1:39">
      <c r="A707" s="1621" t="s">
        <v>2287</v>
      </c>
      <c r="B707" s="1622"/>
      <c r="C707" s="1622"/>
      <c r="D707" s="1622"/>
      <c r="E707" s="1622"/>
      <c r="F707" s="1622"/>
      <c r="G707" s="1622"/>
      <c r="H707" s="1622"/>
      <c r="I707" s="1622"/>
      <c r="J707" s="1622"/>
      <c r="K707" s="1622"/>
      <c r="L707" s="1622"/>
      <c r="M707" s="1622"/>
      <c r="N707" s="1622"/>
      <c r="O707" s="1622"/>
      <c r="P707" s="1622"/>
      <c r="Q707" s="1622"/>
      <c r="R707" s="1622"/>
      <c r="S707" s="1623"/>
      <c r="T707" s="1343">
        <v>0</v>
      </c>
      <c r="U707" s="1343"/>
      <c r="V707" s="1343"/>
      <c r="W707" s="1343"/>
      <c r="X707" s="1343"/>
      <c r="Y707" s="1343"/>
      <c r="Z707" s="1190" t="s">
        <v>2288</v>
      </c>
      <c r="AA707" s="1190"/>
      <c r="AB707" s="1190"/>
      <c r="AC707" s="1190"/>
      <c r="AD707" s="1190"/>
      <c r="AE707" s="1190"/>
      <c r="AF707" s="1332">
        <f>IF(T707&gt;0,T707,0)</f>
        <v>0</v>
      </c>
      <c r="AG707" s="1333"/>
      <c r="AH707" s="1333"/>
      <c r="AI707" s="1333"/>
      <c r="AJ707" s="1333"/>
      <c r="AK707" s="1334"/>
      <c r="AL707" s="18"/>
      <c r="AM707" s="20"/>
    </row>
    <row r="708" spans="1:39" ht="15">
      <c r="A708" s="1633" t="s">
        <v>2289</v>
      </c>
      <c r="B708" s="1634"/>
      <c r="C708" s="1634"/>
      <c r="D708" s="1634"/>
      <c r="E708" s="1634"/>
      <c r="F708" s="1634"/>
      <c r="G708" s="1634"/>
      <c r="H708" s="1634"/>
      <c r="I708" s="1634"/>
      <c r="J708" s="1634"/>
      <c r="K708" s="1634"/>
      <c r="L708" s="1634"/>
      <c r="M708" s="1634"/>
      <c r="N708" s="1634"/>
      <c r="O708" s="1634"/>
      <c r="P708" s="1634"/>
      <c r="Q708" s="1634"/>
      <c r="R708" s="1634"/>
      <c r="S708" s="1634"/>
      <c r="T708" s="1634"/>
      <c r="U708" s="1634"/>
      <c r="V708" s="1634"/>
      <c r="W708" s="1634"/>
      <c r="X708" s="1634"/>
      <c r="Y708" s="1634"/>
      <c r="Z708" s="1634"/>
      <c r="AA708" s="1634"/>
      <c r="AB708" s="1634"/>
      <c r="AC708" s="1634"/>
      <c r="AD708" s="1634"/>
      <c r="AE708" s="1635"/>
      <c r="AF708" s="1732">
        <f>SUM(AF694:AK706)-AF707</f>
        <v>109</v>
      </c>
      <c r="AG708" s="1733"/>
      <c r="AH708" s="1733"/>
      <c r="AI708" s="1733"/>
      <c r="AJ708" s="1733"/>
      <c r="AK708" s="1734"/>
      <c r="AL708" s="687"/>
      <c r="AM708" s="4"/>
    </row>
    <row r="709" spans="1:39" ht="12.6" customHeight="1">
      <c r="A709" s="1636"/>
      <c r="B709" s="1637"/>
      <c r="C709" s="1637"/>
      <c r="D709" s="1637"/>
      <c r="E709" s="1637"/>
      <c r="F709" s="1637"/>
      <c r="G709" s="1637"/>
      <c r="H709" s="1637"/>
      <c r="I709" s="1637"/>
      <c r="J709" s="1637"/>
      <c r="K709" s="1637"/>
      <c r="L709" s="1637"/>
      <c r="M709" s="1637"/>
      <c r="N709" s="1637"/>
      <c r="O709" s="1637"/>
      <c r="P709" s="1637"/>
      <c r="Q709" s="1637"/>
      <c r="R709" s="1637"/>
      <c r="S709" s="1637"/>
      <c r="T709" s="1637"/>
      <c r="U709" s="1637"/>
      <c r="V709" s="1637"/>
      <c r="W709" s="1637"/>
      <c r="X709" s="1637"/>
      <c r="Y709" s="1637"/>
      <c r="Z709" s="1637"/>
      <c r="AA709" s="1637"/>
      <c r="AB709" s="1637"/>
      <c r="AC709" s="1637"/>
      <c r="AD709" s="1637"/>
      <c r="AE709" s="1638"/>
      <c r="AF709" s="1735"/>
      <c r="AG709" s="1736"/>
      <c r="AH709" s="1736"/>
      <c r="AI709" s="1736"/>
      <c r="AJ709" s="1736"/>
      <c r="AK709" s="1737"/>
      <c r="AL709" s="687"/>
      <c r="AM709" s="4"/>
    </row>
    <row r="710" spans="1:39" ht="56.25" customHeight="1">
      <c r="A710" s="938" t="s">
        <v>2290</v>
      </c>
      <c r="B710" s="938"/>
      <c r="C710" s="938"/>
      <c r="D710" s="938"/>
      <c r="E710" s="938"/>
      <c r="F710" s="938"/>
      <c r="G710" s="938"/>
      <c r="H710" s="938"/>
      <c r="I710" s="938"/>
      <c r="J710" s="938"/>
      <c r="K710" s="938"/>
      <c r="L710" s="938"/>
      <c r="M710" s="938"/>
      <c r="N710" s="938"/>
      <c r="O710" s="938"/>
      <c r="P710" s="938"/>
      <c r="Q710" s="938"/>
      <c r="R710" s="938"/>
      <c r="S710" s="938"/>
      <c r="T710" s="938"/>
      <c r="U710" s="938"/>
      <c r="V710" s="938"/>
      <c r="W710" s="938"/>
      <c r="X710" s="938"/>
      <c r="Y710" s="938"/>
      <c r="Z710" s="938"/>
      <c r="AA710" s="938"/>
      <c r="AB710" s="938"/>
      <c r="AC710" s="938"/>
      <c r="AD710" s="938"/>
      <c r="AE710" s="938"/>
      <c r="AF710" s="938"/>
      <c r="AG710" s="938"/>
      <c r="AH710" s="938"/>
      <c r="AI710" s="938"/>
      <c r="AJ710" s="938"/>
      <c r="AK710" s="938"/>
      <c r="AL710" s="938"/>
      <c r="AM710" s="1778"/>
    </row>
    <row r="711" spans="1:39" ht="12.6" hidden="1" customHeight="1">
      <c r="A711" s="938"/>
      <c r="B711" s="938"/>
      <c r="C711" s="938"/>
      <c r="D711" s="938"/>
      <c r="E711" s="938"/>
      <c r="F711" s="938"/>
      <c r="G711" s="938"/>
      <c r="H711" s="938"/>
      <c r="I711" s="938"/>
      <c r="J711" s="938"/>
      <c r="K711" s="938"/>
      <c r="L711" s="938"/>
      <c r="M711" s="938"/>
      <c r="N711" s="938"/>
      <c r="O711" s="938"/>
      <c r="P711" s="938"/>
      <c r="Q711" s="938"/>
      <c r="R711" s="938"/>
      <c r="S711" s="938"/>
      <c r="T711" s="938"/>
      <c r="U711" s="938"/>
      <c r="V711" s="938"/>
      <c r="W711" s="938"/>
      <c r="X711" s="938"/>
      <c r="Y711" s="938"/>
      <c r="Z711" s="938"/>
      <c r="AA711" s="938"/>
      <c r="AB711" s="938"/>
      <c r="AC711" s="938"/>
      <c r="AD711" s="938"/>
      <c r="AE711" s="938"/>
      <c r="AF711" s="938"/>
      <c r="AG711" s="938"/>
      <c r="AH711" s="938"/>
      <c r="AI711" s="938"/>
      <c r="AJ711" s="938"/>
      <c r="AK711" s="938"/>
      <c r="AL711" s="938"/>
      <c r="AM711" s="1778"/>
    </row>
    <row r="712" spans="1:39" ht="12.6" hidden="1" customHeight="1">
      <c r="A712" s="938"/>
      <c r="B712" s="938"/>
      <c r="C712" s="938"/>
      <c r="D712" s="938"/>
      <c r="E712" s="938"/>
      <c r="F712" s="938"/>
      <c r="G712" s="938"/>
      <c r="H712" s="938"/>
      <c r="I712" s="938"/>
      <c r="J712" s="938"/>
      <c r="K712" s="938"/>
      <c r="L712" s="938"/>
      <c r="M712" s="938"/>
      <c r="N712" s="938"/>
      <c r="O712" s="938"/>
      <c r="P712" s="938"/>
      <c r="Q712" s="938"/>
      <c r="R712" s="938"/>
      <c r="S712" s="938"/>
      <c r="T712" s="938"/>
      <c r="U712" s="938"/>
      <c r="V712" s="938"/>
      <c r="W712" s="938"/>
      <c r="X712" s="938"/>
      <c r="Y712" s="938"/>
      <c r="Z712" s="938"/>
      <c r="AA712" s="938"/>
      <c r="AB712" s="938"/>
      <c r="AC712" s="938"/>
      <c r="AD712" s="938"/>
      <c r="AE712" s="938"/>
      <c r="AF712" s="938"/>
      <c r="AG712" s="938"/>
      <c r="AH712" s="938"/>
      <c r="AI712" s="938"/>
      <c r="AJ712" s="938"/>
      <c r="AK712" s="938"/>
      <c r="AL712" s="938"/>
      <c r="AM712" s="1778"/>
    </row>
    <row r="713" spans="1:39" ht="12.6" hidden="1" customHeight="1">
      <c r="A713" s="938"/>
      <c r="B713" s="938"/>
      <c r="C713" s="938"/>
      <c r="D713" s="938"/>
      <c r="E713" s="938"/>
      <c r="F713" s="938"/>
      <c r="G713" s="938"/>
      <c r="H713" s="938"/>
      <c r="I713" s="938"/>
      <c r="J713" s="938"/>
      <c r="K713" s="938"/>
      <c r="L713" s="938"/>
      <c r="M713" s="938"/>
      <c r="N713" s="938"/>
      <c r="O713" s="938"/>
      <c r="P713" s="938"/>
      <c r="Q713" s="938"/>
      <c r="R713" s="938"/>
      <c r="S713" s="938"/>
      <c r="T713" s="938"/>
      <c r="U713" s="938"/>
      <c r="V713" s="938"/>
      <c r="W713" s="938"/>
      <c r="X713" s="938"/>
      <c r="Y713" s="938"/>
      <c r="Z713" s="938"/>
      <c r="AA713" s="938"/>
      <c r="AB713" s="938"/>
      <c r="AC713" s="938"/>
      <c r="AD713" s="938"/>
      <c r="AE713" s="938"/>
      <c r="AF713" s="938"/>
      <c r="AG713" s="938"/>
      <c r="AH713" s="938"/>
      <c r="AI713" s="938"/>
      <c r="AJ713" s="938"/>
      <c r="AK713" s="938"/>
      <c r="AL713" s="938"/>
      <c r="AM713" s="1778"/>
    </row>
    <row r="714" spans="1:39" hidden="1">
      <c r="A714" s="938"/>
      <c r="B714" s="938"/>
      <c r="C714" s="938"/>
      <c r="D714" s="938"/>
      <c r="E714" s="938"/>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1778"/>
    </row>
    <row r="715" spans="1:39">
      <c r="A715" s="938"/>
      <c r="B715" s="938"/>
      <c r="C715" s="938"/>
      <c r="D715" s="938"/>
      <c r="E715" s="938"/>
      <c r="F715" s="938"/>
      <c r="G715" s="938"/>
      <c r="H715" s="938"/>
      <c r="I715" s="938"/>
      <c r="J715" s="938"/>
      <c r="K715" s="938"/>
      <c r="L715" s="938"/>
      <c r="M715" s="938"/>
      <c r="N715" s="938"/>
      <c r="O715" s="938"/>
      <c r="P715" s="938"/>
      <c r="Q715" s="938"/>
      <c r="R715" s="938"/>
      <c r="S715" s="938"/>
      <c r="T715" s="938"/>
      <c r="U715" s="938"/>
      <c r="V715" s="938"/>
      <c r="W715" s="938"/>
      <c r="X715" s="938"/>
      <c r="Y715" s="938"/>
      <c r="Z715" s="938"/>
      <c r="AA715" s="938"/>
      <c r="AB715" s="938"/>
      <c r="AC715" s="938"/>
      <c r="AD715" s="938"/>
      <c r="AE715" s="938"/>
      <c r="AF715" s="938"/>
      <c r="AG715" s="938"/>
      <c r="AH715" s="938"/>
      <c r="AI715" s="938"/>
      <c r="AJ715" s="938"/>
      <c r="AK715" s="938"/>
      <c r="AL715" s="938"/>
      <c r="AM715" s="1778"/>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285:R285"/>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12" priority="1">
      <formula>$H$112="(iv)"</formula>
    </cfRule>
  </conditionalFormatting>
  <conditionalFormatting sqref="T112:Y112">
    <cfRule type="expression" dxfId="11" priority="2">
      <formula>$H$112="(iv)"</formula>
    </cfRule>
  </conditionalFormatting>
  <conditionalFormatting sqref="AP453 AQ454:AQ456 AN454:AN458 W578:W588 AC578:AC590 AJ613 T694:AK694 T695:AE707 AF695:AF708 AG697:AK697 AF698:AK698 AG701:AK701 AG705:AK705 AG707:AL707">
    <cfRule type="expression" dxfId="10" priority="4" stopIfTrue="1">
      <formula>ISERROR(T453)</formula>
    </cfRule>
  </conditionalFormatting>
  <conditionalFormatting sqref="AP473">
    <cfRule type="expression" dxfId="9"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24" workbookViewId="0">
      <selection activeCell="A77" sqref="A77"/>
    </sheetView>
  </sheetViews>
  <sheetFormatPr defaultColWidth="8.71875" defaultRowHeight="11.4" zeroHeight="1"/>
  <cols>
    <col min="1" max="1" width="32.44140625" style="408" customWidth="1"/>
    <col min="2" max="3" width="12.1640625" style="406" customWidth="1"/>
    <col min="4" max="6" width="12.71875" style="406" customWidth="1"/>
    <col min="7" max="7" width="13.44140625" style="406" customWidth="1"/>
    <col min="8" max="9" width="12.1640625" style="406" customWidth="1"/>
    <col min="10" max="10" width="12.1640625" style="496" customWidth="1"/>
    <col min="11" max="11" width="7" style="502" customWidth="1"/>
    <col min="12" max="16384" width="8.71875" style="406"/>
  </cols>
  <sheetData>
    <row r="1" spans="1:11" s="291" customFormat="1" ht="12.6">
      <c r="A1" s="1787" t="s">
        <v>2291</v>
      </c>
      <c r="B1" s="1788"/>
      <c r="C1" s="1788"/>
      <c r="D1" s="1788"/>
      <c r="E1" s="1788"/>
      <c r="F1" s="1788"/>
      <c r="G1" s="1788"/>
      <c r="H1" s="1788"/>
      <c r="I1" s="1788"/>
      <c r="J1" s="1789"/>
      <c r="K1" s="499"/>
    </row>
    <row r="2" spans="1:11" s="517" customFormat="1" ht="68.400000000000006">
      <c r="A2" s="515"/>
      <c r="B2" s="198" t="s">
        <v>2292</v>
      </c>
      <c r="C2" s="198" t="s">
        <v>2293</v>
      </c>
      <c r="D2" s="198" t="s">
        <v>2294</v>
      </c>
      <c r="E2" s="198" t="s">
        <v>2295</v>
      </c>
      <c r="F2" s="198" t="s">
        <v>2296</v>
      </c>
      <c r="G2" s="198" t="s">
        <v>2297</v>
      </c>
      <c r="H2" s="198" t="s">
        <v>2298</v>
      </c>
      <c r="I2" s="198" t="s">
        <v>2299</v>
      </c>
      <c r="J2" s="578" t="s">
        <v>2300</v>
      </c>
      <c r="K2" s="516"/>
    </row>
    <row r="3" spans="1:11" s="219" customFormat="1">
      <c r="A3" s="201" t="s">
        <v>1679</v>
      </c>
      <c r="B3" s="504"/>
      <c r="C3" s="504"/>
      <c r="D3" s="504"/>
      <c r="E3" s="504"/>
      <c r="F3" s="504"/>
      <c r="G3" s="504"/>
      <c r="H3" s="504"/>
      <c r="I3" s="504"/>
      <c r="J3" s="504"/>
      <c r="K3" s="500"/>
    </row>
    <row r="4" spans="1:11" s="219" customFormat="1" ht="13.2">
      <c r="A4" s="256" t="s">
        <v>1680</v>
      </c>
      <c r="B4" s="505">
        <f>'Sources and Uses Budget'!C4</f>
        <v>2200000</v>
      </c>
      <c r="C4" s="506">
        <f>+B4</f>
        <v>2200000</v>
      </c>
      <c r="D4" s="506"/>
      <c r="E4" s="507"/>
      <c r="F4" s="507"/>
      <c r="G4" s="507"/>
      <c r="H4" s="507"/>
      <c r="I4" s="507"/>
      <c r="J4" s="507"/>
      <c r="K4" s="500"/>
    </row>
    <row r="5" spans="1:11" s="219" customFormat="1" ht="13.2">
      <c r="A5" s="256" t="s">
        <v>1681</v>
      </c>
      <c r="B5" s="505">
        <f>'Sources and Uses Budget'!C5</f>
        <v>55000</v>
      </c>
      <c r="C5" s="506">
        <f t="shared" ref="C5:C7" si="0">+B5</f>
        <v>55000</v>
      </c>
      <c r="D5" s="506"/>
      <c r="E5" s="507"/>
      <c r="F5" s="507"/>
      <c r="G5" s="507"/>
      <c r="H5" s="507"/>
      <c r="I5" s="507"/>
      <c r="J5" s="507"/>
      <c r="K5" s="500"/>
    </row>
    <row r="6" spans="1:11" s="219" customFormat="1">
      <c r="A6" s="205" t="s">
        <v>1682</v>
      </c>
      <c r="B6" s="505">
        <f>'Sources and Uses Budget'!C6</f>
        <v>62300</v>
      </c>
      <c r="C6" s="506">
        <f t="shared" si="0"/>
        <v>62300</v>
      </c>
      <c r="D6" s="506"/>
      <c r="E6" s="507"/>
      <c r="F6" s="507"/>
      <c r="G6" s="507"/>
      <c r="H6" s="507"/>
      <c r="I6" s="507"/>
      <c r="J6" s="507"/>
      <c r="K6" s="500"/>
    </row>
    <row r="7" spans="1:11" s="219" customFormat="1">
      <c r="A7" s="205" t="s">
        <v>1683</v>
      </c>
      <c r="B7" s="505">
        <f>'Sources and Uses Budget'!C7</f>
        <v>0</v>
      </c>
      <c r="C7" s="506">
        <f t="shared" si="0"/>
        <v>0</v>
      </c>
      <c r="D7" s="506"/>
      <c r="E7" s="507"/>
      <c r="F7" s="507"/>
      <c r="G7" s="507"/>
      <c r="H7" s="507"/>
      <c r="I7" s="507"/>
      <c r="J7" s="507"/>
      <c r="K7" s="500"/>
    </row>
    <row r="8" spans="1:11" s="219" customFormat="1" ht="13.2">
      <c r="A8" s="257" t="s">
        <v>1684</v>
      </c>
      <c r="B8" s="505">
        <f>'Sources and Uses Budget'!C8</f>
        <v>2317300</v>
      </c>
      <c r="C8" s="505">
        <f>SUM(C4:C7)</f>
        <v>2317300</v>
      </c>
      <c r="D8" s="505">
        <f>SUM(D4:D7)</f>
        <v>0</v>
      </c>
      <c r="E8" s="507"/>
      <c r="F8" s="507"/>
      <c r="G8" s="507"/>
      <c r="H8" s="507"/>
      <c r="I8" s="507"/>
      <c r="J8" s="507"/>
      <c r="K8" s="500"/>
    </row>
    <row r="9" spans="1:11" s="219" customFormat="1">
      <c r="A9" s="205" t="s">
        <v>1685</v>
      </c>
      <c r="B9" s="505">
        <f>'Sources and Uses Budget'!C9</f>
        <v>0</v>
      </c>
      <c r="C9" s="506">
        <f t="shared" ref="C9:C10" si="1">+B9</f>
        <v>0</v>
      </c>
      <c r="D9" s="506"/>
      <c r="E9" s="507"/>
      <c r="F9" s="507"/>
      <c r="G9" s="507"/>
      <c r="H9" s="505">
        <f>'Sources and Uses Budget'!T9</f>
        <v>0</v>
      </c>
      <c r="I9" s="506"/>
      <c r="J9" s="506"/>
      <c r="K9" s="500"/>
    </row>
    <row r="10" spans="1:11" s="219" customFormat="1" ht="13.2">
      <c r="A10" s="256" t="s">
        <v>1686</v>
      </c>
      <c r="B10" s="505">
        <f>'Sources and Uses Budget'!C10</f>
        <v>100000</v>
      </c>
      <c r="C10" s="506">
        <f t="shared" si="1"/>
        <v>100000</v>
      </c>
      <c r="D10" s="506"/>
      <c r="E10" s="505">
        <f>'Sources and Uses Budget'!S10</f>
        <v>100000</v>
      </c>
      <c r="F10" s="506">
        <f>+C10</f>
        <v>100000</v>
      </c>
      <c r="G10" s="506"/>
      <c r="H10" s="505">
        <f>'Sources and Uses Budget'!T10</f>
        <v>0</v>
      </c>
      <c r="I10" s="506"/>
      <c r="J10" s="506"/>
      <c r="K10" s="500"/>
    </row>
    <row r="11" spans="1:11" s="219" customFormat="1">
      <c r="A11" s="209" t="s">
        <v>1687</v>
      </c>
      <c r="B11" s="505">
        <f>'Sources and Uses Budget'!C11</f>
        <v>100000</v>
      </c>
      <c r="C11" s="505">
        <f>SUM(C9:C10)</f>
        <v>100000</v>
      </c>
      <c r="D11" s="505">
        <f>SUM(D9:D10)</f>
        <v>0</v>
      </c>
      <c r="E11" s="507"/>
      <c r="F11" s="507"/>
      <c r="G11" s="507"/>
      <c r="H11" s="505">
        <f>'Sources and Uses Budget'!T11</f>
        <v>0</v>
      </c>
      <c r="I11" s="505">
        <f>SUM(I9:I10)</f>
        <v>0</v>
      </c>
      <c r="J11" s="505">
        <f>SUM(J9:J10)</f>
        <v>0</v>
      </c>
      <c r="K11" s="500"/>
    </row>
    <row r="12" spans="1:11" s="219" customFormat="1">
      <c r="A12" s="209" t="s">
        <v>1688</v>
      </c>
      <c r="B12" s="505">
        <f>'Sources and Uses Budget'!C12</f>
        <v>2417300</v>
      </c>
      <c r="C12" s="505">
        <f>SUM(C8+C11)</f>
        <v>2417300</v>
      </c>
      <c r="D12" s="505">
        <f>SUM(D8+D11)</f>
        <v>0</v>
      </c>
      <c r="E12" s="507"/>
      <c r="F12" s="507"/>
      <c r="G12" s="507"/>
      <c r="H12" s="507"/>
      <c r="I12" s="507"/>
      <c r="J12" s="507"/>
      <c r="K12" s="500"/>
    </row>
    <row r="13" spans="1:11" s="219" customFormat="1">
      <c r="A13" s="383" t="s">
        <v>1689</v>
      </c>
      <c r="B13" s="505">
        <f>'Sources and Uses Budget'!C13</f>
        <v>252750</v>
      </c>
      <c r="C13" s="506">
        <f t="shared" ref="C13:C15" si="2">+B13</f>
        <v>252750</v>
      </c>
      <c r="D13" s="506"/>
      <c r="E13" s="505">
        <f>'Sources and Uses Budget'!S13</f>
        <v>150000</v>
      </c>
      <c r="F13" s="506">
        <f>+E13</f>
        <v>150000</v>
      </c>
      <c r="G13" s="506"/>
      <c r="H13" s="505">
        <f>'Sources and Uses Budget'!T13</f>
        <v>0</v>
      </c>
      <c r="I13" s="506"/>
      <c r="J13" s="506"/>
      <c r="K13" s="500"/>
    </row>
    <row r="14" spans="1:11" s="219" customFormat="1" ht="22.8">
      <c r="A14" s="205" t="s">
        <v>1690</v>
      </c>
      <c r="B14" s="505">
        <f>'Sources and Uses Budget'!C14</f>
        <v>0</v>
      </c>
      <c r="C14" s="506">
        <f t="shared" si="2"/>
        <v>0</v>
      </c>
      <c r="D14" s="506"/>
      <c r="E14" s="505">
        <f>'Sources and Uses Budget'!S14</f>
        <v>0</v>
      </c>
      <c r="F14" s="506">
        <f t="shared" ref="F14" si="3">+C14</f>
        <v>0</v>
      </c>
      <c r="G14" s="506"/>
      <c r="H14" s="505">
        <f>'Sources and Uses Budget'!T14</f>
        <v>0</v>
      </c>
      <c r="I14" s="506"/>
      <c r="J14" s="506"/>
      <c r="K14" s="500"/>
    </row>
    <row r="15" spans="1:11" s="219" customFormat="1">
      <c r="A15" s="205" t="s">
        <v>1691</v>
      </c>
      <c r="B15" s="505">
        <f>'Sources and Uses Budget'!C15</f>
        <v>0</v>
      </c>
      <c r="C15" s="506">
        <f t="shared" si="2"/>
        <v>0</v>
      </c>
      <c r="D15" s="506"/>
      <c r="E15" s="507">
        <f>'Sources and Uses Budget'!S15</f>
        <v>0</v>
      </c>
      <c r="F15" s="507"/>
      <c r="G15" s="507"/>
      <c r="H15" s="507">
        <f>'Sources and Uses Budget'!T15</f>
        <v>0</v>
      </c>
      <c r="I15" s="507"/>
      <c r="J15" s="507"/>
      <c r="K15" s="500"/>
    </row>
    <row r="16" spans="1:11" s="219" customFormat="1">
      <c r="A16" s="201" t="s">
        <v>1692</v>
      </c>
      <c r="B16" s="504"/>
      <c r="C16" s="504"/>
      <c r="D16" s="504"/>
      <c r="E16" s="504"/>
      <c r="F16" s="504"/>
      <c r="G16" s="504"/>
      <c r="H16" s="504"/>
      <c r="I16" s="504"/>
      <c r="J16" s="504"/>
      <c r="K16" s="500"/>
    </row>
    <row r="17" spans="1:11" s="219" customFormat="1">
      <c r="A17" s="205" t="s">
        <v>1693</v>
      </c>
      <c r="B17" s="505">
        <f>'Sources and Uses Budget'!C17</f>
        <v>0</v>
      </c>
      <c r="C17" s="506"/>
      <c r="D17" s="506"/>
      <c r="E17" s="505">
        <f>'Sources and Uses Budget'!S17</f>
        <v>0</v>
      </c>
      <c r="F17" s="506"/>
      <c r="G17" s="506"/>
      <c r="H17" s="505">
        <f>'Sources and Uses Budget'!T17</f>
        <v>0</v>
      </c>
      <c r="I17" s="506"/>
      <c r="J17" s="506"/>
      <c r="K17" s="500"/>
    </row>
    <row r="18" spans="1:11" s="219" customFormat="1">
      <c r="A18" s="205" t="s">
        <v>1694</v>
      </c>
      <c r="B18" s="505">
        <f>'Sources and Uses Budget'!C18</f>
        <v>0</v>
      </c>
      <c r="C18" s="506"/>
      <c r="D18" s="506"/>
      <c r="E18" s="505">
        <f>'Sources and Uses Budget'!S18</f>
        <v>0</v>
      </c>
      <c r="F18" s="506"/>
      <c r="G18" s="506"/>
      <c r="H18" s="505">
        <f>'Sources and Uses Budget'!T18</f>
        <v>0</v>
      </c>
      <c r="I18" s="506"/>
      <c r="J18" s="506"/>
      <c r="K18" s="500"/>
    </row>
    <row r="19" spans="1:11" s="219" customFormat="1">
      <c r="A19" s="205" t="s">
        <v>1695</v>
      </c>
      <c r="B19" s="505">
        <f>'Sources and Uses Budget'!C19</f>
        <v>0</v>
      </c>
      <c r="C19" s="506"/>
      <c r="D19" s="506"/>
      <c r="E19" s="505">
        <f>'Sources and Uses Budget'!S19</f>
        <v>0</v>
      </c>
      <c r="F19" s="506"/>
      <c r="G19" s="506"/>
      <c r="H19" s="505">
        <f>'Sources and Uses Budget'!T19</f>
        <v>0</v>
      </c>
      <c r="I19" s="506"/>
      <c r="J19" s="506"/>
      <c r="K19" s="500"/>
    </row>
    <row r="20" spans="1:11" s="219" customFormat="1">
      <c r="A20" s="205" t="s">
        <v>1696</v>
      </c>
      <c r="B20" s="505">
        <f>'Sources and Uses Budget'!C20</f>
        <v>0</v>
      </c>
      <c r="C20" s="506"/>
      <c r="D20" s="506"/>
      <c r="E20" s="505">
        <f>'Sources and Uses Budget'!S20</f>
        <v>0</v>
      </c>
      <c r="F20" s="506"/>
      <c r="G20" s="506"/>
      <c r="H20" s="505">
        <f>'Sources and Uses Budget'!T20</f>
        <v>0</v>
      </c>
      <c r="I20" s="506"/>
      <c r="J20" s="506"/>
      <c r="K20" s="500"/>
    </row>
    <row r="21" spans="1:11" s="219" customFormat="1">
      <c r="A21" s="205" t="s">
        <v>1697</v>
      </c>
      <c r="B21" s="505">
        <f>'Sources and Uses Budget'!C21</f>
        <v>0</v>
      </c>
      <c r="C21" s="506"/>
      <c r="D21" s="506"/>
      <c r="E21" s="505">
        <f>'Sources and Uses Budget'!S21</f>
        <v>0</v>
      </c>
      <c r="F21" s="506"/>
      <c r="G21" s="506"/>
      <c r="H21" s="505">
        <f>'Sources and Uses Budget'!T21</f>
        <v>0</v>
      </c>
      <c r="I21" s="506"/>
      <c r="J21" s="506"/>
      <c r="K21" s="500"/>
    </row>
    <row r="22" spans="1:11" s="219" customFormat="1">
      <c r="A22" s="205" t="s">
        <v>1698</v>
      </c>
      <c r="B22" s="505">
        <f>'Sources and Uses Budget'!C22</f>
        <v>0</v>
      </c>
      <c r="C22" s="506"/>
      <c r="D22" s="506"/>
      <c r="E22" s="505">
        <f>'Sources and Uses Budget'!S22</f>
        <v>0</v>
      </c>
      <c r="F22" s="506"/>
      <c r="G22" s="506"/>
      <c r="H22" s="505">
        <f>'Sources and Uses Budget'!T22</f>
        <v>0</v>
      </c>
      <c r="I22" s="506"/>
      <c r="J22" s="506"/>
      <c r="K22" s="500"/>
    </row>
    <row r="23" spans="1:11" s="219" customFormat="1">
      <c r="A23" s="205" t="s">
        <v>1699</v>
      </c>
      <c r="B23" s="505">
        <f>'Sources and Uses Budget'!C23</f>
        <v>0</v>
      </c>
      <c r="C23" s="506"/>
      <c r="D23" s="506"/>
      <c r="E23" s="505">
        <f>'Sources and Uses Budget'!S23</f>
        <v>0</v>
      </c>
      <c r="F23" s="506"/>
      <c r="G23" s="506"/>
      <c r="H23" s="505">
        <f>'Sources and Uses Budget'!T23</f>
        <v>0</v>
      </c>
      <c r="I23" s="506"/>
      <c r="J23" s="506"/>
      <c r="K23" s="500"/>
    </row>
    <row r="24" spans="1:11" s="219" customFormat="1">
      <c r="A24" s="205" t="str">
        <f>'Sources and Uses Budget'!$A25</f>
        <v>Other: (Specify)</v>
      </c>
      <c r="B24" s="505">
        <f>'Sources and Uses Budget'!C25</f>
        <v>0</v>
      </c>
      <c r="C24" s="506"/>
      <c r="D24" s="506"/>
      <c r="E24" s="505">
        <f>'Sources and Uses Budget'!S25</f>
        <v>0</v>
      </c>
      <c r="F24" s="506"/>
      <c r="G24" s="506"/>
      <c r="H24" s="505">
        <f>'Sources and Uses Budget'!T25</f>
        <v>0</v>
      </c>
      <c r="I24" s="506"/>
      <c r="J24" s="506"/>
      <c r="K24" s="500"/>
    </row>
    <row r="25" spans="1:11" s="219" customFormat="1">
      <c r="A25" s="209" t="s">
        <v>1702</v>
      </c>
      <c r="B25" s="505">
        <f>'Sources and Uses Budget'!C26</f>
        <v>0</v>
      </c>
      <c r="C25" s="505">
        <f>SUM(C17:C24)</f>
        <v>0</v>
      </c>
      <c r="D25" s="505">
        <f>SUM(D17:D24)</f>
        <v>0</v>
      </c>
      <c r="E25" s="505">
        <f>'Sources and Uses Budget'!S26</f>
        <v>0</v>
      </c>
      <c r="F25" s="508">
        <f>SUM(F17:F24)</f>
        <v>0</v>
      </c>
      <c r="G25" s="508">
        <f>SUM(G17:G24)</f>
        <v>0</v>
      </c>
      <c r="H25" s="505">
        <f>'Sources and Uses Budget'!T26</f>
        <v>0</v>
      </c>
      <c r="I25" s="508">
        <f>SUM(I17:I24)</f>
        <v>0</v>
      </c>
      <c r="J25" s="508">
        <f>SUM(J17:J24)</f>
        <v>0</v>
      </c>
      <c r="K25" s="500"/>
    </row>
    <row r="26" spans="1:11" s="219" customFormat="1">
      <c r="A26" s="209" t="s">
        <v>1703</v>
      </c>
      <c r="B26" s="505">
        <f>'Sources and Uses Budget'!C27</f>
        <v>0</v>
      </c>
      <c r="C26" s="506"/>
      <c r="D26" s="506"/>
      <c r="E26" s="505">
        <f>'Sources and Uses Budget'!S27</f>
        <v>0</v>
      </c>
      <c r="F26" s="506"/>
      <c r="G26" s="506"/>
      <c r="H26" s="505">
        <f>'Sources and Uses Budget'!T27</f>
        <v>0</v>
      </c>
      <c r="I26" s="506"/>
      <c r="J26" s="506"/>
      <c r="K26" s="500"/>
    </row>
    <row r="27" spans="1:11" s="219" customFormat="1">
      <c r="A27" s="201" t="s">
        <v>1704</v>
      </c>
      <c r="B27" s="504"/>
      <c r="C27" s="504"/>
      <c r="D27" s="504"/>
      <c r="E27" s="504"/>
      <c r="F27" s="504"/>
      <c r="G27" s="504"/>
      <c r="H27" s="504"/>
      <c r="I27" s="504"/>
      <c r="J27" s="504"/>
      <c r="K27" s="500"/>
    </row>
    <row r="28" spans="1:11" s="219" customFormat="1">
      <c r="A28" s="205" t="s">
        <v>1693</v>
      </c>
      <c r="B28" s="505">
        <f>'Sources and Uses Budget'!C29</f>
        <v>350000</v>
      </c>
      <c r="C28" s="506">
        <f t="shared" ref="C28:C36" si="4">+B28</f>
        <v>350000</v>
      </c>
      <c r="D28" s="506"/>
      <c r="E28" s="505">
        <f>'Sources and Uses Budget'!S29</f>
        <v>350000</v>
      </c>
      <c r="F28" s="506">
        <f t="shared" ref="F28:F36" si="5">+C28</f>
        <v>350000</v>
      </c>
      <c r="G28" s="506"/>
      <c r="H28" s="505">
        <f>'Sources and Uses Budget'!T29</f>
        <v>0</v>
      </c>
      <c r="I28" s="506"/>
      <c r="J28" s="506"/>
      <c r="K28" s="500"/>
    </row>
    <row r="29" spans="1:11" s="219" customFormat="1">
      <c r="A29" s="205" t="s">
        <v>1694</v>
      </c>
      <c r="B29" s="505">
        <f>'Sources and Uses Budget'!C30</f>
        <v>10960000</v>
      </c>
      <c r="C29" s="506">
        <f t="shared" si="4"/>
        <v>10960000</v>
      </c>
      <c r="D29" s="506"/>
      <c r="E29" s="505">
        <f>'Sources and Uses Budget'!S30</f>
        <v>10960000</v>
      </c>
      <c r="F29" s="506">
        <f t="shared" si="5"/>
        <v>10960000</v>
      </c>
      <c r="G29" s="506"/>
      <c r="H29" s="505">
        <f>'Sources and Uses Budget'!T30</f>
        <v>0</v>
      </c>
      <c r="I29" s="506"/>
      <c r="J29" s="506"/>
      <c r="K29" s="500"/>
    </row>
    <row r="30" spans="1:11" s="219" customFormat="1">
      <c r="A30" s="205" t="s">
        <v>1695</v>
      </c>
      <c r="B30" s="505">
        <f>'Sources and Uses Budget'!C31</f>
        <v>736000</v>
      </c>
      <c r="C30" s="506">
        <f t="shared" si="4"/>
        <v>736000</v>
      </c>
      <c r="D30" s="506"/>
      <c r="E30" s="505">
        <f>'Sources and Uses Budget'!S31</f>
        <v>736000</v>
      </c>
      <c r="F30" s="506">
        <f t="shared" si="5"/>
        <v>736000</v>
      </c>
      <c r="G30" s="506"/>
      <c r="H30" s="505">
        <f>'Sources and Uses Budget'!T31</f>
        <v>0</v>
      </c>
      <c r="I30" s="506"/>
      <c r="J30" s="506"/>
      <c r="K30" s="500"/>
    </row>
    <row r="31" spans="1:11" s="219" customFormat="1">
      <c r="A31" s="205" t="s">
        <v>1696</v>
      </c>
      <c r="B31" s="505">
        <f>'Sources and Uses Budget'!C32</f>
        <v>232000</v>
      </c>
      <c r="C31" s="506">
        <f t="shared" si="4"/>
        <v>232000</v>
      </c>
      <c r="D31" s="506"/>
      <c r="E31" s="505">
        <f>'Sources and Uses Budget'!S32</f>
        <v>232000</v>
      </c>
      <c r="F31" s="506">
        <f t="shared" si="5"/>
        <v>232000</v>
      </c>
      <c r="G31" s="506"/>
      <c r="H31" s="505">
        <f>'Sources and Uses Budget'!T32</f>
        <v>0</v>
      </c>
      <c r="I31" s="506"/>
      <c r="J31" s="506"/>
      <c r="K31" s="500"/>
    </row>
    <row r="32" spans="1:11" s="219" customFormat="1">
      <c r="A32" s="205" t="s">
        <v>1697</v>
      </c>
      <c r="B32" s="505">
        <f>'Sources and Uses Budget'!C33</f>
        <v>463000</v>
      </c>
      <c r="C32" s="506">
        <f t="shared" si="4"/>
        <v>463000</v>
      </c>
      <c r="D32" s="506"/>
      <c r="E32" s="505">
        <f>'Sources and Uses Budget'!S33</f>
        <v>463000</v>
      </c>
      <c r="F32" s="932">
        <f t="shared" si="5"/>
        <v>463000</v>
      </c>
      <c r="G32" s="506"/>
      <c r="H32" s="505">
        <f>'Sources and Uses Budget'!T33</f>
        <v>0</v>
      </c>
      <c r="I32" s="506"/>
      <c r="J32" s="506"/>
      <c r="K32" s="500"/>
    </row>
    <row r="33" spans="1:11" s="219" customFormat="1">
      <c r="A33" s="205" t="s">
        <v>1698</v>
      </c>
      <c r="B33" s="505">
        <f>'Sources and Uses Budget'!C34</f>
        <v>780000</v>
      </c>
      <c r="C33" s="506">
        <f t="shared" si="4"/>
        <v>780000</v>
      </c>
      <c r="D33" s="506"/>
      <c r="E33" s="505">
        <f>'Sources and Uses Budget'!S34</f>
        <v>780000</v>
      </c>
      <c r="F33" s="506">
        <f t="shared" si="5"/>
        <v>780000</v>
      </c>
      <c r="G33" s="506"/>
      <c r="H33" s="505">
        <f>'Sources and Uses Budget'!T34</f>
        <v>0</v>
      </c>
      <c r="I33" s="506"/>
      <c r="J33" s="506"/>
      <c r="K33" s="500"/>
    </row>
    <row r="34" spans="1:11" s="219" customFormat="1">
      <c r="A34" s="205" t="s">
        <v>1699</v>
      </c>
      <c r="B34" s="505">
        <f>'Sources and Uses Budget'!C35</f>
        <v>195000</v>
      </c>
      <c r="C34" s="506">
        <f t="shared" si="4"/>
        <v>195000</v>
      </c>
      <c r="D34" s="506"/>
      <c r="E34" s="505">
        <f>'Sources and Uses Budget'!S35</f>
        <v>195000</v>
      </c>
      <c r="F34" s="506">
        <f t="shared" si="5"/>
        <v>195000</v>
      </c>
      <c r="G34" s="506"/>
      <c r="H34" s="505">
        <f>'Sources and Uses Budget'!T35</f>
        <v>0</v>
      </c>
      <c r="I34" s="506"/>
      <c r="J34" s="506"/>
      <c r="K34" s="500"/>
    </row>
    <row r="35" spans="1:11" s="219" customFormat="1">
      <c r="A35" s="205" t="str">
        <f>'Sources and Uses Budget'!$A36</f>
        <v>Third-party Construction Management</v>
      </c>
      <c r="B35" s="505">
        <f>'Sources and Uses Budget'!C36</f>
        <v>84000</v>
      </c>
      <c r="C35" s="506">
        <f t="shared" si="4"/>
        <v>84000</v>
      </c>
      <c r="D35" s="506"/>
      <c r="E35" s="505">
        <f>'Sources and Uses Budget'!S36</f>
        <v>84000</v>
      </c>
      <c r="F35" s="506">
        <f t="shared" si="5"/>
        <v>84000</v>
      </c>
      <c r="G35" s="506"/>
      <c r="H35" s="505">
        <f>'Sources and Uses Budget'!T36</f>
        <v>0</v>
      </c>
      <c r="I35" s="506"/>
      <c r="J35" s="506"/>
      <c r="K35" s="500"/>
    </row>
    <row r="36" spans="1:11" s="219" customFormat="1">
      <c r="A36" s="205" t="str">
        <f>'Sources and Uses Budget'!$A37</f>
        <v>Other: (Specify)</v>
      </c>
      <c r="B36" s="505">
        <f>'Sources and Uses Budget'!C37</f>
        <v>0</v>
      </c>
      <c r="C36" s="506">
        <f t="shared" si="4"/>
        <v>0</v>
      </c>
      <c r="D36" s="506"/>
      <c r="E36" s="505">
        <f>'Sources and Uses Budget'!S37</f>
        <v>0</v>
      </c>
      <c r="F36" s="506">
        <f t="shared" si="5"/>
        <v>0</v>
      </c>
      <c r="G36" s="506"/>
      <c r="H36" s="505">
        <f>'Sources and Uses Budget'!T37</f>
        <v>0</v>
      </c>
      <c r="I36" s="506"/>
      <c r="J36" s="506"/>
      <c r="K36" s="500"/>
    </row>
    <row r="37" spans="1:11" s="219" customFormat="1">
      <c r="A37" s="209" t="s">
        <v>1705</v>
      </c>
      <c r="B37" s="505">
        <f>'Sources and Uses Budget'!C38</f>
        <v>13800000</v>
      </c>
      <c r="C37" s="505">
        <f>SUM(C28:C36)</f>
        <v>13800000</v>
      </c>
      <c r="D37" s="505">
        <f>SUM(D28:D36)</f>
        <v>0</v>
      </c>
      <c r="E37" s="505">
        <f>'Sources and Uses Budget'!S38</f>
        <v>13800000</v>
      </c>
      <c r="F37" s="508">
        <f>SUM(F28:F36)</f>
        <v>13800000</v>
      </c>
      <c r="G37" s="508">
        <f>SUM(G28:G36)</f>
        <v>0</v>
      </c>
      <c r="H37" s="505">
        <f>'Sources and Uses Budget'!T38</f>
        <v>0</v>
      </c>
      <c r="I37" s="508">
        <f>SUM(I28:I36)</f>
        <v>0</v>
      </c>
      <c r="J37" s="508">
        <f>SUM(J28:J36)</f>
        <v>0</v>
      </c>
      <c r="K37" s="500"/>
    </row>
    <row r="38" spans="1:11" s="219" customFormat="1">
      <c r="A38" s="201" t="s">
        <v>1706</v>
      </c>
      <c r="B38" s="504"/>
      <c r="C38" s="504"/>
      <c r="D38" s="504"/>
      <c r="E38" s="504"/>
      <c r="F38" s="504"/>
      <c r="G38" s="504"/>
      <c r="H38" s="504"/>
      <c r="I38" s="504"/>
      <c r="J38" s="504"/>
      <c r="K38" s="500"/>
    </row>
    <row r="39" spans="1:11" s="219" customFormat="1">
      <c r="A39" s="205" t="s">
        <v>1707</v>
      </c>
      <c r="B39" s="505">
        <f>'Sources and Uses Budget'!C40</f>
        <v>350000</v>
      </c>
      <c r="C39" s="506">
        <f t="shared" ref="C39:C40" si="6">+B39</f>
        <v>350000</v>
      </c>
      <c r="D39" s="506"/>
      <c r="E39" s="505">
        <f>'Sources and Uses Budget'!S40</f>
        <v>350000</v>
      </c>
      <c r="F39" s="506">
        <f t="shared" ref="F39:F40" si="7">+C39</f>
        <v>350000</v>
      </c>
      <c r="G39" s="506"/>
      <c r="H39" s="505">
        <f>'Sources and Uses Budget'!T40</f>
        <v>0</v>
      </c>
      <c r="I39" s="506"/>
      <c r="J39" s="506"/>
      <c r="K39" s="500"/>
    </row>
    <row r="40" spans="1:11" s="219" customFormat="1">
      <c r="A40" s="205" t="s">
        <v>1708</v>
      </c>
      <c r="B40" s="505">
        <f>'Sources and Uses Budget'!C41</f>
        <v>100000</v>
      </c>
      <c r="C40" s="506">
        <f t="shared" si="6"/>
        <v>100000</v>
      </c>
      <c r="D40" s="506"/>
      <c r="E40" s="505">
        <f>'Sources and Uses Budget'!S41</f>
        <v>100000</v>
      </c>
      <c r="F40" s="506">
        <f t="shared" si="7"/>
        <v>100000</v>
      </c>
      <c r="G40" s="506"/>
      <c r="H40" s="505">
        <f>'Sources and Uses Budget'!T41</f>
        <v>0</v>
      </c>
      <c r="I40" s="506"/>
      <c r="J40" s="506"/>
      <c r="K40" s="500"/>
    </row>
    <row r="41" spans="1:11" s="219" customFormat="1">
      <c r="A41" s="209" t="s">
        <v>1709</v>
      </c>
      <c r="B41" s="505">
        <f>'Sources and Uses Budget'!C42</f>
        <v>450000</v>
      </c>
      <c r="C41" s="505">
        <f>SUM(C38:C40)</f>
        <v>450000</v>
      </c>
      <c r="D41" s="505">
        <f>SUM(D38:D40)</f>
        <v>0</v>
      </c>
      <c r="E41" s="505">
        <f>'Sources and Uses Budget'!S42</f>
        <v>450000</v>
      </c>
      <c r="F41" s="508">
        <f>SUM(F39:F40)</f>
        <v>450000</v>
      </c>
      <c r="G41" s="508">
        <f>SUM(G39:G40)</f>
        <v>0</v>
      </c>
      <c r="H41" s="505">
        <f>'Sources and Uses Budget'!T42</f>
        <v>0</v>
      </c>
      <c r="I41" s="508">
        <f>SUM(I39:I40)</f>
        <v>0</v>
      </c>
      <c r="J41" s="508">
        <f>SUM(J39:J40)</f>
        <v>0</v>
      </c>
      <c r="K41" s="500"/>
    </row>
    <row r="42" spans="1:11" s="219" customFormat="1">
      <c r="A42" s="209" t="s">
        <v>1710</v>
      </c>
      <c r="B42" s="505">
        <f>'Sources and Uses Budget'!C43</f>
        <v>130000</v>
      </c>
      <c r="C42" s="506">
        <v>130000</v>
      </c>
      <c r="D42" s="506"/>
      <c r="E42" s="505">
        <f>'Sources and Uses Budget'!S43</f>
        <v>130000</v>
      </c>
      <c r="F42" s="506">
        <f t="shared" ref="F42" si="8">+C42</f>
        <v>130000</v>
      </c>
      <c r="G42" s="506"/>
      <c r="H42" s="505">
        <f>'Sources and Uses Budget'!T43</f>
        <v>0</v>
      </c>
      <c r="I42" s="506"/>
      <c r="J42" s="506"/>
      <c r="K42" s="500"/>
    </row>
    <row r="43" spans="1:11" s="219" customFormat="1">
      <c r="A43" s="201" t="s">
        <v>1711</v>
      </c>
      <c r="B43" s="504"/>
      <c r="C43" s="504"/>
      <c r="D43" s="504"/>
      <c r="E43" s="504"/>
      <c r="F43" s="504"/>
      <c r="G43" s="504"/>
      <c r="H43" s="504"/>
      <c r="I43" s="504"/>
      <c r="J43" s="504"/>
      <c r="K43" s="500"/>
    </row>
    <row r="44" spans="1:11" s="219" customFormat="1">
      <c r="A44" s="205" t="s">
        <v>1712</v>
      </c>
      <c r="B44" s="505">
        <f>'Sources and Uses Budget'!C45</f>
        <v>800000</v>
      </c>
      <c r="C44" s="506">
        <f t="shared" ref="C44:C51" si="9">+B44</f>
        <v>800000</v>
      </c>
      <c r="D44" s="506"/>
      <c r="E44" s="505">
        <f>'Sources and Uses Budget'!S45</f>
        <v>800000</v>
      </c>
      <c r="F44" s="506">
        <f t="shared" ref="F44:F51" si="10">+C44</f>
        <v>800000</v>
      </c>
      <c r="G44" s="506"/>
      <c r="H44" s="505">
        <f>'Sources and Uses Budget'!T45</f>
        <v>0</v>
      </c>
      <c r="I44" s="506"/>
      <c r="J44" s="506"/>
      <c r="K44" s="500"/>
    </row>
    <row r="45" spans="1:11" s="219" customFormat="1">
      <c r="A45" s="205" t="s">
        <v>1713</v>
      </c>
      <c r="B45" s="505">
        <f>'Sources and Uses Budget'!C46</f>
        <v>140000</v>
      </c>
      <c r="C45" s="506">
        <f t="shared" si="9"/>
        <v>140000</v>
      </c>
      <c r="D45" s="506"/>
      <c r="E45" s="505">
        <f>'Sources and Uses Budget'!S46</f>
        <v>140000</v>
      </c>
      <c r="F45" s="506">
        <f t="shared" si="10"/>
        <v>140000</v>
      </c>
      <c r="G45" s="506"/>
      <c r="H45" s="505">
        <f>'Sources and Uses Budget'!T46</f>
        <v>0</v>
      </c>
      <c r="I45" s="506"/>
      <c r="J45" s="506"/>
      <c r="K45" s="500"/>
    </row>
    <row r="46" spans="1:11" s="219" customFormat="1" ht="12" customHeight="1">
      <c r="A46" s="205" t="s">
        <v>1714</v>
      </c>
      <c r="B46" s="505">
        <f>'Sources and Uses Budget'!C47</f>
        <v>0</v>
      </c>
      <c r="C46" s="506">
        <f t="shared" si="9"/>
        <v>0</v>
      </c>
      <c r="D46" s="506"/>
      <c r="E46" s="505">
        <f>'Sources and Uses Budget'!S47</f>
        <v>0</v>
      </c>
      <c r="F46" s="506">
        <f t="shared" si="10"/>
        <v>0</v>
      </c>
      <c r="G46" s="506"/>
      <c r="H46" s="505">
        <f>'Sources and Uses Budget'!T47</f>
        <v>0</v>
      </c>
      <c r="I46" s="506"/>
      <c r="J46" s="506"/>
      <c r="K46" s="500"/>
    </row>
    <row r="47" spans="1:11" s="219" customFormat="1">
      <c r="A47" s="205" t="s">
        <v>1715</v>
      </c>
      <c r="B47" s="505">
        <f>'Sources and Uses Budget'!C48</f>
        <v>0</v>
      </c>
      <c r="C47" s="506">
        <f t="shared" si="9"/>
        <v>0</v>
      </c>
      <c r="D47" s="506"/>
      <c r="E47" s="505">
        <f>'Sources and Uses Budget'!S48</f>
        <v>0</v>
      </c>
      <c r="F47" s="506">
        <f t="shared" si="10"/>
        <v>0</v>
      </c>
      <c r="G47" s="506"/>
      <c r="H47" s="505">
        <f>'Sources and Uses Budget'!T48</f>
        <v>0</v>
      </c>
      <c r="I47" s="506"/>
      <c r="J47" s="506"/>
      <c r="K47" s="500"/>
    </row>
    <row r="48" spans="1:11" s="219" customFormat="1">
      <c r="A48" s="205" t="s">
        <v>1716</v>
      </c>
      <c r="B48" s="505">
        <f>'Sources and Uses Budget'!C49</f>
        <v>44150</v>
      </c>
      <c r="C48" s="506">
        <f t="shared" si="9"/>
        <v>44150</v>
      </c>
      <c r="D48" s="506"/>
      <c r="E48" s="505">
        <f>'Sources and Uses Budget'!S49</f>
        <v>44150</v>
      </c>
      <c r="F48" s="506">
        <f t="shared" si="10"/>
        <v>44150</v>
      </c>
      <c r="G48" s="506"/>
      <c r="H48" s="505">
        <f>'Sources and Uses Budget'!T49</f>
        <v>0</v>
      </c>
      <c r="I48" s="506"/>
      <c r="J48" s="506"/>
      <c r="K48" s="500"/>
    </row>
    <row r="49" spans="1:11" s="219" customFormat="1">
      <c r="A49" s="205" t="s">
        <v>1717</v>
      </c>
      <c r="B49" s="505">
        <f>'Sources and Uses Budget'!C50</f>
        <v>55000</v>
      </c>
      <c r="C49" s="506">
        <f t="shared" si="9"/>
        <v>55000</v>
      </c>
      <c r="D49" s="506"/>
      <c r="E49" s="505">
        <f>'Sources and Uses Budget'!S50</f>
        <v>55000</v>
      </c>
      <c r="F49" s="506">
        <f t="shared" si="10"/>
        <v>55000</v>
      </c>
      <c r="G49" s="506"/>
      <c r="H49" s="505">
        <f>'Sources and Uses Budget'!T50</f>
        <v>0</v>
      </c>
      <c r="I49" s="506"/>
      <c r="J49" s="506"/>
      <c r="K49" s="500"/>
    </row>
    <row r="50" spans="1:11" s="219" customFormat="1">
      <c r="A50" s="205" t="s">
        <v>1718</v>
      </c>
      <c r="B50" s="505">
        <f>'Sources and Uses Budget'!C51</f>
        <v>85000</v>
      </c>
      <c r="C50" s="506">
        <f t="shared" si="9"/>
        <v>85000</v>
      </c>
      <c r="D50" s="506"/>
      <c r="E50" s="505">
        <f>'Sources and Uses Budget'!S51</f>
        <v>85000</v>
      </c>
      <c r="F50" s="506">
        <f t="shared" si="10"/>
        <v>85000</v>
      </c>
      <c r="G50" s="506"/>
      <c r="H50" s="505">
        <f>'Sources and Uses Budget'!T51</f>
        <v>0</v>
      </c>
      <c r="I50" s="506"/>
      <c r="J50" s="506"/>
      <c r="K50" s="500"/>
    </row>
    <row r="51" spans="1:11" s="219" customFormat="1">
      <c r="A51" s="205" t="str">
        <f>'Sources and Uses Budget'!$A52</f>
        <v>Other: (Specify)</v>
      </c>
      <c r="B51" s="505">
        <f>'Sources and Uses Budget'!C52</f>
        <v>0</v>
      </c>
      <c r="C51" s="506">
        <f t="shared" si="9"/>
        <v>0</v>
      </c>
      <c r="D51" s="506"/>
      <c r="E51" s="505">
        <f>'Sources and Uses Budget'!S52</f>
        <v>0</v>
      </c>
      <c r="F51" s="506">
        <f t="shared" si="10"/>
        <v>0</v>
      </c>
      <c r="G51" s="506"/>
      <c r="H51" s="505">
        <f>'Sources and Uses Budget'!T52</f>
        <v>0</v>
      </c>
      <c r="I51" s="506"/>
      <c r="J51" s="506"/>
      <c r="K51" s="500"/>
    </row>
    <row r="52" spans="1:11" s="498" customFormat="1">
      <c r="A52" s="209" t="s">
        <v>1719</v>
      </c>
      <c r="B52" s="505">
        <f>'Sources and Uses Budget'!C53</f>
        <v>1124150</v>
      </c>
      <c r="C52" s="508">
        <f>SUM(C44:C51)</f>
        <v>1124150</v>
      </c>
      <c r="D52" s="508">
        <f>SUM(D44:D51)</f>
        <v>0</v>
      </c>
      <c r="E52" s="505">
        <f>'Sources and Uses Budget'!S53</f>
        <v>1124150</v>
      </c>
      <c r="F52" s="508">
        <f>SUM(F44:F51)</f>
        <v>1124150</v>
      </c>
      <c r="G52" s="508">
        <f>SUM(G44:G51)</f>
        <v>0</v>
      </c>
      <c r="H52" s="505">
        <f>'Sources and Uses Budget'!T53</f>
        <v>0</v>
      </c>
      <c r="I52" s="508">
        <f>SUM(I44:I51)</f>
        <v>0</v>
      </c>
      <c r="J52" s="508">
        <f>SUM(J44:J51)</f>
        <v>0</v>
      </c>
      <c r="K52" s="501"/>
    </row>
    <row r="53" spans="1:11" s="219" customFormat="1">
      <c r="A53" s="201" t="s">
        <v>1326</v>
      </c>
      <c r="B53" s="504"/>
      <c r="C53" s="504"/>
      <c r="D53" s="504"/>
      <c r="E53" s="504"/>
      <c r="F53" s="504"/>
      <c r="G53" s="504"/>
      <c r="H53" s="504"/>
      <c r="I53" s="504"/>
      <c r="J53" s="504"/>
      <c r="K53" s="500"/>
    </row>
    <row r="54" spans="1:11" s="219" customFormat="1">
      <c r="A54" s="205" t="s">
        <v>1720</v>
      </c>
      <c r="B54" s="505">
        <f>'Sources and Uses Budget'!C55</f>
        <v>120600</v>
      </c>
      <c r="C54" s="506">
        <f t="shared" ref="C54:C59" si="11">+B54</f>
        <v>120600</v>
      </c>
      <c r="D54" s="506"/>
      <c r="E54" s="507"/>
      <c r="F54" s="507"/>
      <c r="G54" s="507"/>
      <c r="H54" s="507"/>
      <c r="I54" s="507"/>
      <c r="J54" s="507"/>
      <c r="K54" s="500"/>
    </row>
    <row r="55" spans="1:11" s="219" customFormat="1" ht="12" customHeight="1">
      <c r="A55" s="205" t="s">
        <v>1714</v>
      </c>
      <c r="B55" s="505">
        <f>'Sources and Uses Budget'!C56</f>
        <v>0</v>
      </c>
      <c r="C55" s="506">
        <f t="shared" si="11"/>
        <v>0</v>
      </c>
      <c r="D55" s="506"/>
      <c r="E55" s="507"/>
      <c r="F55" s="507"/>
      <c r="G55" s="507"/>
      <c r="H55" s="507"/>
      <c r="I55" s="507"/>
      <c r="J55" s="507"/>
      <c r="K55" s="500"/>
    </row>
    <row r="56" spans="1:11" s="219" customFormat="1">
      <c r="A56" s="205" t="s">
        <v>1716</v>
      </c>
      <c r="B56" s="505">
        <f>'Sources and Uses Budget'!C57</f>
        <v>10000</v>
      </c>
      <c r="C56" s="506">
        <f t="shared" si="11"/>
        <v>10000</v>
      </c>
      <c r="D56" s="506"/>
      <c r="E56" s="507"/>
      <c r="F56" s="507"/>
      <c r="G56" s="507"/>
      <c r="H56" s="507"/>
      <c r="I56" s="507"/>
      <c r="J56" s="507"/>
      <c r="K56" s="500"/>
    </row>
    <row r="57" spans="1:11" s="219" customFormat="1">
      <c r="A57" s="205" t="s">
        <v>1717</v>
      </c>
      <c r="B57" s="505">
        <f>'Sources and Uses Budget'!C58</f>
        <v>0</v>
      </c>
      <c r="C57" s="506">
        <f t="shared" si="11"/>
        <v>0</v>
      </c>
      <c r="D57" s="506"/>
      <c r="E57" s="507"/>
      <c r="F57" s="507"/>
      <c r="G57" s="507"/>
      <c r="H57" s="507"/>
      <c r="I57" s="507"/>
      <c r="J57" s="507"/>
      <c r="K57" s="500"/>
    </row>
    <row r="58" spans="1:11" s="219" customFormat="1">
      <c r="A58" s="205" t="s">
        <v>1718</v>
      </c>
      <c r="B58" s="505">
        <f>'Sources and Uses Budget'!C59</f>
        <v>0</v>
      </c>
      <c r="C58" s="506">
        <f t="shared" si="11"/>
        <v>0</v>
      </c>
      <c r="D58" s="506"/>
      <c r="E58" s="507"/>
      <c r="F58" s="507"/>
      <c r="G58" s="507"/>
      <c r="H58" s="507"/>
      <c r="I58" s="507"/>
      <c r="J58" s="507"/>
      <c r="K58" s="500"/>
    </row>
    <row r="59" spans="1:11" s="219" customFormat="1">
      <c r="A59" s="205" t="str">
        <f>'Sources and Uses Budget'!$A60</f>
        <v>Other: (Specify)</v>
      </c>
      <c r="B59" s="505">
        <f>'Sources and Uses Budget'!C60</f>
        <v>0</v>
      </c>
      <c r="C59" s="506">
        <f t="shared" si="11"/>
        <v>0</v>
      </c>
      <c r="D59" s="506"/>
      <c r="E59" s="507"/>
      <c r="F59" s="507"/>
      <c r="G59" s="507"/>
      <c r="H59" s="507"/>
      <c r="I59" s="507"/>
      <c r="J59" s="507"/>
      <c r="K59" s="500"/>
    </row>
    <row r="60" spans="1:11" s="219" customFormat="1" ht="14.1" customHeight="1">
      <c r="A60" s="209" t="s">
        <v>1721</v>
      </c>
      <c r="B60" s="505">
        <f>'Sources and Uses Budget'!C61</f>
        <v>130600</v>
      </c>
      <c r="C60" s="505">
        <f>SUM(C54:C59)</f>
        <v>130600</v>
      </c>
      <c r="D60" s="505">
        <f>SUM(D54:D59)</f>
        <v>0</v>
      </c>
      <c r="E60" s="507"/>
      <c r="F60" s="507"/>
      <c r="G60" s="507"/>
      <c r="H60" s="507"/>
      <c r="I60" s="507"/>
      <c r="J60" s="507"/>
      <c r="K60" s="500"/>
    </row>
    <row r="61" spans="1:11" s="219" customFormat="1">
      <c r="A61" s="215" t="s">
        <v>1722</v>
      </c>
      <c r="B61" s="505">
        <f>'Sources and Uses Budget'!C62</f>
        <v>18304800</v>
      </c>
      <c r="C61" s="505">
        <f>SUM(C8+C11+C13+C14+C15+C25+C26+C37+C41+C42+C52+C60)</f>
        <v>18304800</v>
      </c>
      <c r="D61" s="505">
        <f>SUM(D8+D11+D13+D14+D15+D25+D26+D37+D41+D42+D52+D60)</f>
        <v>0</v>
      </c>
      <c r="E61" s="505">
        <f>'Sources and Uses Budget'!S62</f>
        <v>15754150</v>
      </c>
      <c r="F61" s="505">
        <f>SUM(F10+F13+F14+F15+F25+F26+F37+F41+F42+F52)</f>
        <v>15754150</v>
      </c>
      <c r="G61" s="505">
        <f>SUM(G10+G13+G14+G15+G25+G26+G37+G41+G42+G52)</f>
        <v>0</v>
      </c>
      <c r="H61" s="505">
        <f>'Sources and Uses Budget'!T62</f>
        <v>0</v>
      </c>
      <c r="I61" s="505">
        <f>SUM(I11+I13+I14+I15+I25+I26+I37+I41+I42+I52)</f>
        <v>0</v>
      </c>
      <c r="J61" s="505">
        <f>SUM(J11+J13+J14+J15+J25+J26+J37+J41+J42+J52)</f>
        <v>0</v>
      </c>
      <c r="K61" s="500"/>
    </row>
    <row r="62" spans="1:11" s="219" customFormat="1" ht="22.8">
      <c r="A62" s="201" t="s">
        <v>1723</v>
      </c>
      <c r="B62" s="504"/>
      <c r="C62" s="504"/>
      <c r="D62" s="504"/>
      <c r="E62" s="504"/>
      <c r="F62" s="504"/>
      <c r="G62" s="504"/>
      <c r="H62" s="504"/>
      <c r="I62" s="504"/>
      <c r="J62" s="504"/>
      <c r="K62" s="500"/>
    </row>
    <row r="63" spans="1:11" s="219" customFormat="1">
      <c r="A63" s="205" t="s">
        <v>1724</v>
      </c>
      <c r="B63" s="505">
        <f>'Sources and Uses Budget'!C64</f>
        <v>30000</v>
      </c>
      <c r="C63" s="506">
        <f t="shared" ref="C63:C67" si="12">+B63</f>
        <v>30000</v>
      </c>
      <c r="D63" s="506"/>
      <c r="E63" s="505">
        <f>'Sources and Uses Budget'!S64</f>
        <v>30000</v>
      </c>
      <c r="F63" s="506">
        <f t="shared" ref="F63:F66" si="13">+C63</f>
        <v>30000</v>
      </c>
      <c r="G63" s="506"/>
      <c r="H63" s="505">
        <f>'Sources and Uses Budget'!T64</f>
        <v>0</v>
      </c>
      <c r="I63" s="506"/>
      <c r="J63" s="506"/>
      <c r="K63" s="500"/>
    </row>
    <row r="64" spans="1:11" s="219" customFormat="1" ht="22.8">
      <c r="A64" s="205" t="s">
        <v>1725</v>
      </c>
      <c r="B64" s="505">
        <f>'Sources and Uses Budget'!C65</f>
        <v>3000</v>
      </c>
      <c r="C64" s="506">
        <f t="shared" si="12"/>
        <v>3000</v>
      </c>
      <c r="D64" s="506"/>
      <c r="E64" s="505">
        <f>'Sources and Uses Budget'!S65</f>
        <v>0</v>
      </c>
      <c r="F64" s="506">
        <v>0</v>
      </c>
      <c r="G64" s="506"/>
      <c r="H64" s="505">
        <f>'Sources and Uses Budget'!T65</f>
        <v>0</v>
      </c>
      <c r="I64" s="506"/>
      <c r="J64" s="506"/>
      <c r="K64" s="500"/>
    </row>
    <row r="65" spans="1:11" s="219" customFormat="1" ht="22.8">
      <c r="A65" s="205" t="s">
        <v>1726</v>
      </c>
      <c r="B65" s="505">
        <f>'Sources and Uses Budget'!C66</f>
        <v>45000</v>
      </c>
      <c r="C65" s="506">
        <f t="shared" si="12"/>
        <v>45000</v>
      </c>
      <c r="D65" s="506"/>
      <c r="E65" s="505">
        <f>'Sources and Uses Budget'!S66</f>
        <v>45000</v>
      </c>
      <c r="F65" s="506">
        <f t="shared" si="13"/>
        <v>45000</v>
      </c>
      <c r="G65" s="506"/>
      <c r="H65" s="505">
        <f>'Sources and Uses Budget'!T66</f>
        <v>0</v>
      </c>
      <c r="I65" s="506"/>
      <c r="J65" s="506"/>
      <c r="K65" s="500"/>
    </row>
    <row r="66" spans="1:11" s="219" customFormat="1">
      <c r="A66" s="205" t="s">
        <v>1727</v>
      </c>
      <c r="B66" s="505">
        <f>'Sources and Uses Budget'!C67</f>
        <v>0</v>
      </c>
      <c r="C66" s="506">
        <f t="shared" si="12"/>
        <v>0</v>
      </c>
      <c r="D66" s="506"/>
      <c r="E66" s="505">
        <f>'Sources and Uses Budget'!S67</f>
        <v>0</v>
      </c>
      <c r="F66" s="506">
        <f t="shared" si="13"/>
        <v>0</v>
      </c>
      <c r="G66" s="506"/>
      <c r="H66" s="505">
        <f>'Sources and Uses Budget'!T67</f>
        <v>0</v>
      </c>
      <c r="I66" s="506"/>
      <c r="J66" s="506"/>
      <c r="K66" s="500"/>
    </row>
    <row r="67" spans="1:11" s="219" customFormat="1">
      <c r="A67" s="205" t="str">
        <f>'Sources and Uses Budget'!$A68</f>
        <v>Other: Lender/ Transaction</v>
      </c>
      <c r="B67" s="505">
        <f>'Sources and Uses Budget'!C68</f>
        <v>90000</v>
      </c>
      <c r="C67" s="506">
        <f t="shared" si="12"/>
        <v>90000</v>
      </c>
      <c r="D67" s="506"/>
      <c r="E67" s="505">
        <f>'Sources and Uses Budget'!S68</f>
        <v>90000</v>
      </c>
      <c r="F67" s="506">
        <v>90000</v>
      </c>
      <c r="G67" s="506"/>
      <c r="H67" s="505">
        <f>'Sources and Uses Budget'!T68</f>
        <v>0</v>
      </c>
      <c r="I67" s="506"/>
      <c r="J67" s="506"/>
      <c r="K67" s="500"/>
    </row>
    <row r="68" spans="1:11" s="219" customFormat="1">
      <c r="A68" s="209" t="s">
        <v>1728</v>
      </c>
      <c r="B68" s="505">
        <f>'Sources and Uses Budget'!C69</f>
        <v>168000</v>
      </c>
      <c r="C68" s="505">
        <f>SUM(C62:C67)</f>
        <v>168000</v>
      </c>
      <c r="D68" s="505">
        <f>SUM(D62:D67)</f>
        <v>0</v>
      </c>
      <c r="E68" s="505">
        <f>'Sources and Uses Budget'!S69</f>
        <v>165000</v>
      </c>
      <c r="F68" s="508">
        <f>SUM(F63:F67)</f>
        <v>165000</v>
      </c>
      <c r="G68" s="508">
        <f>SUM(G63:G67)</f>
        <v>0</v>
      </c>
      <c r="H68" s="505">
        <f>'Sources and Uses Budget'!T69</f>
        <v>0</v>
      </c>
      <c r="I68" s="508">
        <f>SUM(I63:I67)</f>
        <v>0</v>
      </c>
      <c r="J68" s="508">
        <f>SUM(J63:J67)</f>
        <v>0</v>
      </c>
      <c r="K68" s="500"/>
    </row>
    <row r="69" spans="1:11" s="219" customFormat="1">
      <c r="A69" s="201" t="s">
        <v>1729</v>
      </c>
      <c r="B69" s="504"/>
      <c r="C69" s="504"/>
      <c r="D69" s="504"/>
      <c r="E69" s="504"/>
      <c r="F69" s="504"/>
      <c r="G69" s="504"/>
      <c r="H69" s="504"/>
      <c r="I69" s="504"/>
      <c r="J69" s="504"/>
      <c r="K69" s="500"/>
    </row>
    <row r="70" spans="1:11" s="219" customFormat="1">
      <c r="A70" s="205" t="s">
        <v>1730</v>
      </c>
      <c r="B70" s="505">
        <f>'Sources and Uses Budget'!C71</f>
        <v>0</v>
      </c>
      <c r="C70" s="506">
        <f t="shared" ref="C70:C74" si="14">+B70</f>
        <v>0</v>
      </c>
      <c r="D70" s="506"/>
      <c r="E70" s="507"/>
      <c r="F70" s="507"/>
      <c r="G70" s="507"/>
      <c r="H70" s="507"/>
      <c r="I70" s="507"/>
      <c r="J70" s="507"/>
      <c r="K70" s="500"/>
    </row>
    <row r="71" spans="1:11" s="219" customFormat="1">
      <c r="A71" s="205" t="s">
        <v>1731</v>
      </c>
      <c r="B71" s="505">
        <f>'Sources and Uses Budget'!C72</f>
        <v>0</v>
      </c>
      <c r="C71" s="506">
        <f t="shared" si="14"/>
        <v>0</v>
      </c>
      <c r="D71" s="506"/>
      <c r="E71" s="507"/>
      <c r="F71" s="507"/>
      <c r="G71" s="507"/>
      <c r="H71" s="507"/>
      <c r="I71" s="507"/>
      <c r="J71" s="507"/>
      <c r="K71" s="500"/>
    </row>
    <row r="72" spans="1:11" s="219" customFormat="1">
      <c r="A72" s="383" t="s">
        <v>1732</v>
      </c>
      <c r="B72" s="505">
        <f>'Sources and Uses Budget'!C73</f>
        <v>0</v>
      </c>
      <c r="C72" s="506">
        <f t="shared" si="14"/>
        <v>0</v>
      </c>
      <c r="D72" s="506"/>
      <c r="E72" s="507"/>
      <c r="F72" s="507"/>
      <c r="G72" s="507"/>
      <c r="H72" s="507"/>
      <c r="I72" s="507"/>
      <c r="J72" s="507"/>
      <c r="K72" s="500"/>
    </row>
    <row r="73" spans="1:11" s="219" customFormat="1">
      <c r="A73" s="205" t="s">
        <v>1733</v>
      </c>
      <c r="B73" s="505">
        <f>'Sources and Uses Budget'!C74</f>
        <v>86300</v>
      </c>
      <c r="C73" s="506">
        <f t="shared" si="14"/>
        <v>86300</v>
      </c>
      <c r="D73" s="506"/>
      <c r="E73" s="507"/>
      <c r="F73" s="507"/>
      <c r="G73" s="507"/>
      <c r="H73" s="507"/>
      <c r="I73" s="507"/>
      <c r="J73" s="507"/>
      <c r="K73" s="500"/>
    </row>
    <row r="74" spans="1:11" s="219" customFormat="1">
      <c r="A74" s="205" t="str">
        <f>'Sources and Uses Budget'!$A75</f>
        <v>Other</v>
      </c>
      <c r="B74" s="505">
        <f>'Sources and Uses Budget'!C75</f>
        <v>0</v>
      </c>
      <c r="C74" s="506">
        <f t="shared" si="14"/>
        <v>0</v>
      </c>
      <c r="D74" s="506"/>
      <c r="E74" s="507"/>
      <c r="F74" s="507"/>
      <c r="G74" s="507"/>
      <c r="H74" s="507"/>
      <c r="I74" s="507"/>
      <c r="J74" s="507"/>
      <c r="K74" s="500"/>
    </row>
    <row r="75" spans="1:11" s="219" customFormat="1">
      <c r="A75" s="209" t="s">
        <v>1734</v>
      </c>
      <c r="B75" s="505">
        <f>'Sources and Uses Budget'!C76</f>
        <v>86300</v>
      </c>
      <c r="C75" s="505">
        <f>SUM(C70:C74)</f>
        <v>86300</v>
      </c>
      <c r="D75" s="505">
        <f>SUM(D70:D74)</f>
        <v>0</v>
      </c>
      <c r="E75" s="507"/>
      <c r="F75" s="507"/>
      <c r="G75" s="507"/>
      <c r="H75" s="507"/>
      <c r="I75" s="507"/>
      <c r="J75" s="507"/>
      <c r="K75" s="500"/>
    </row>
    <row r="76" spans="1:11" s="219" customFormat="1">
      <c r="A76" s="201" t="s">
        <v>1735</v>
      </c>
      <c r="B76" s="504"/>
      <c r="C76" s="504"/>
      <c r="D76" s="504"/>
      <c r="E76" s="504"/>
      <c r="F76" s="504"/>
      <c r="G76" s="504"/>
      <c r="H76" s="504"/>
      <c r="I76" s="504"/>
      <c r="J76" s="504"/>
      <c r="K76" s="500"/>
    </row>
    <row r="77" spans="1:11" s="219" customFormat="1">
      <c r="A77" s="205" t="s">
        <v>2301</v>
      </c>
      <c r="B77" s="505">
        <f>'Sources and Uses Budget'!C78</f>
        <v>694000</v>
      </c>
      <c r="C77" s="506">
        <f t="shared" ref="C77:C78" si="15">+B77</f>
        <v>694000</v>
      </c>
      <c r="D77" s="506"/>
      <c r="E77" s="505">
        <f>'Sources and Uses Budget'!S78</f>
        <v>694000</v>
      </c>
      <c r="F77" s="506">
        <f t="shared" ref="F77:F78" si="16">+C77</f>
        <v>694000</v>
      </c>
      <c r="G77" s="506"/>
      <c r="H77" s="505">
        <f>'Sources and Uses Budget'!T78</f>
        <v>0</v>
      </c>
      <c r="I77" s="506"/>
      <c r="J77" s="506"/>
      <c r="K77" s="500"/>
    </row>
    <row r="78" spans="1:11" s="219" customFormat="1">
      <c r="A78" s="205" t="s">
        <v>1737</v>
      </c>
      <c r="B78" s="505">
        <f>'Sources and Uses Budget'!C79</f>
        <v>288200</v>
      </c>
      <c r="C78" s="506">
        <f t="shared" si="15"/>
        <v>288200</v>
      </c>
      <c r="D78" s="506"/>
      <c r="E78" s="505">
        <f>'Sources and Uses Budget'!S79</f>
        <v>288200</v>
      </c>
      <c r="F78" s="506">
        <f t="shared" si="16"/>
        <v>288200</v>
      </c>
      <c r="G78" s="506"/>
      <c r="H78" s="505">
        <f>'Sources and Uses Budget'!T79</f>
        <v>0</v>
      </c>
      <c r="I78" s="506"/>
      <c r="J78" s="506"/>
      <c r="K78" s="500"/>
    </row>
    <row r="79" spans="1:11" s="219" customFormat="1">
      <c r="A79" s="209" t="s">
        <v>1738</v>
      </c>
      <c r="B79" s="505">
        <f>'Sources and Uses Budget'!C80</f>
        <v>982200</v>
      </c>
      <c r="C79" s="581">
        <f>SUM(C77:C78)</f>
        <v>982200</v>
      </c>
      <c r="D79" s="581">
        <f>SUM(D77:D78)</f>
        <v>0</v>
      </c>
      <c r="E79" s="505">
        <f>'Sources and Uses Budget'!S80</f>
        <v>982200</v>
      </c>
      <c r="F79" s="581">
        <f>SUM(F77:F78)</f>
        <v>982200</v>
      </c>
      <c r="G79" s="581">
        <f>SUM(G77:G78)</f>
        <v>0</v>
      </c>
      <c r="H79" s="505">
        <f>'Sources and Uses Budget'!T80</f>
        <v>0</v>
      </c>
      <c r="I79" s="581">
        <f>SUM(I77:I78)</f>
        <v>0</v>
      </c>
      <c r="J79" s="581">
        <f>SUM(J77:J78)</f>
        <v>0</v>
      </c>
      <c r="K79" s="500"/>
    </row>
    <row r="80" spans="1:11" s="219" customFormat="1">
      <c r="A80" s="201" t="s">
        <v>1739</v>
      </c>
      <c r="B80" s="504"/>
      <c r="C80" s="504"/>
      <c r="D80" s="504"/>
      <c r="E80" s="504"/>
      <c r="F80" s="504"/>
      <c r="G80" s="504"/>
      <c r="H80" s="504"/>
      <c r="I80" s="504"/>
      <c r="J80" s="504"/>
      <c r="K80" s="500"/>
    </row>
    <row r="81" spans="1:11" s="219" customFormat="1" ht="14.1" customHeight="1">
      <c r="A81" s="205" t="s">
        <v>1740</v>
      </c>
      <c r="B81" s="505">
        <f>'Sources and Uses Budget'!C82</f>
        <v>20000</v>
      </c>
      <c r="C81" s="506">
        <f t="shared" ref="C81:C93" si="17">+B81</f>
        <v>20000</v>
      </c>
      <c r="D81" s="506"/>
      <c r="E81" s="507"/>
      <c r="F81" s="507"/>
      <c r="G81" s="507"/>
      <c r="H81" s="507"/>
      <c r="I81" s="507"/>
      <c r="J81" s="507"/>
      <c r="K81" s="500"/>
    </row>
    <row r="82" spans="1:11" s="219" customFormat="1">
      <c r="A82" s="205" t="s">
        <v>1741</v>
      </c>
      <c r="B82" s="505">
        <f>'Sources and Uses Budget'!C83</f>
        <v>20000</v>
      </c>
      <c r="C82" s="506">
        <f t="shared" si="17"/>
        <v>20000</v>
      </c>
      <c r="D82" s="506"/>
      <c r="E82" s="505">
        <f>'Sources and Uses Budget'!S83</f>
        <v>20000</v>
      </c>
      <c r="F82" s="506">
        <f t="shared" ref="F82:F92" si="18">+C82</f>
        <v>20000</v>
      </c>
      <c r="G82" s="506"/>
      <c r="H82" s="505">
        <f>'Sources and Uses Budget'!T83</f>
        <v>0</v>
      </c>
      <c r="I82" s="506"/>
      <c r="J82" s="506"/>
      <c r="K82" s="500"/>
    </row>
    <row r="83" spans="1:11" s="219" customFormat="1">
      <c r="A83" s="205" t="s">
        <v>1742</v>
      </c>
      <c r="B83" s="505">
        <f>'Sources and Uses Budget'!C84</f>
        <v>200000</v>
      </c>
      <c r="C83" s="506">
        <f t="shared" si="17"/>
        <v>200000</v>
      </c>
      <c r="D83" s="506"/>
      <c r="E83" s="505">
        <f>'Sources and Uses Budget'!S84</f>
        <v>200000</v>
      </c>
      <c r="F83" s="506">
        <f t="shared" si="18"/>
        <v>200000</v>
      </c>
      <c r="G83" s="506"/>
      <c r="H83" s="505">
        <f>'Sources and Uses Budget'!T84</f>
        <v>0</v>
      </c>
      <c r="I83" s="506"/>
      <c r="J83" s="506"/>
      <c r="K83" s="500"/>
    </row>
    <row r="84" spans="1:11" s="219" customFormat="1">
      <c r="A84" s="205" t="s">
        <v>1743</v>
      </c>
      <c r="B84" s="505">
        <f>'Sources and Uses Budget'!C85</f>
        <v>150000</v>
      </c>
      <c r="C84" s="506">
        <f t="shared" si="17"/>
        <v>150000</v>
      </c>
      <c r="D84" s="506"/>
      <c r="E84" s="505">
        <f>'Sources and Uses Budget'!S85</f>
        <v>150000</v>
      </c>
      <c r="F84" s="506">
        <f t="shared" si="18"/>
        <v>150000</v>
      </c>
      <c r="G84" s="506"/>
      <c r="H84" s="505">
        <f>'Sources and Uses Budget'!T85</f>
        <v>0</v>
      </c>
      <c r="I84" s="506"/>
      <c r="J84" s="506"/>
      <c r="K84" s="500"/>
    </row>
    <row r="85" spans="1:11" s="219" customFormat="1">
      <c r="A85" s="205" t="s">
        <v>1744</v>
      </c>
      <c r="B85" s="505">
        <f>'Sources and Uses Budget'!C86</f>
        <v>0</v>
      </c>
      <c r="C85" s="506">
        <f t="shared" si="17"/>
        <v>0</v>
      </c>
      <c r="D85" s="506"/>
      <c r="E85" s="505">
        <f>'Sources and Uses Budget'!S86</f>
        <v>0</v>
      </c>
      <c r="F85" s="506">
        <f t="shared" si="18"/>
        <v>0</v>
      </c>
      <c r="G85" s="506"/>
      <c r="H85" s="505">
        <f>'Sources and Uses Budget'!T86</f>
        <v>0</v>
      </c>
      <c r="I85" s="506"/>
      <c r="J85" s="506"/>
      <c r="K85" s="500"/>
    </row>
    <row r="86" spans="1:11" s="219" customFormat="1">
      <c r="A86" s="205" t="s">
        <v>1745</v>
      </c>
      <c r="B86" s="505">
        <f>'Sources and Uses Budget'!C87</f>
        <v>20000</v>
      </c>
      <c r="C86" s="506">
        <f t="shared" si="17"/>
        <v>20000</v>
      </c>
      <c r="D86" s="506"/>
      <c r="E86" s="507"/>
      <c r="F86" s="507"/>
      <c r="G86" s="507"/>
      <c r="H86" s="507"/>
      <c r="I86" s="507"/>
      <c r="J86" s="507"/>
      <c r="K86" s="500"/>
    </row>
    <row r="87" spans="1:11" s="219" customFormat="1">
      <c r="A87" s="205" t="s">
        <v>1746</v>
      </c>
      <c r="B87" s="505">
        <f>'Sources and Uses Budget'!C88</f>
        <v>132000</v>
      </c>
      <c r="C87" s="506">
        <f t="shared" si="17"/>
        <v>132000</v>
      </c>
      <c r="D87" s="506"/>
      <c r="E87" s="505">
        <f>'Sources and Uses Budget'!S88</f>
        <v>132000</v>
      </c>
      <c r="F87" s="506">
        <f t="shared" si="18"/>
        <v>132000</v>
      </c>
      <c r="G87" s="506"/>
      <c r="H87" s="505">
        <f>'Sources and Uses Budget'!T88</f>
        <v>0</v>
      </c>
      <c r="I87" s="506"/>
      <c r="J87" s="506"/>
      <c r="K87" s="500"/>
    </row>
    <row r="88" spans="1:11" s="219" customFormat="1">
      <c r="A88" s="205" t="s">
        <v>1747</v>
      </c>
      <c r="B88" s="505">
        <f>'Sources and Uses Budget'!C89</f>
        <v>7500</v>
      </c>
      <c r="C88" s="506">
        <f t="shared" si="17"/>
        <v>7500</v>
      </c>
      <c r="D88" s="506"/>
      <c r="E88" s="505">
        <f>'Sources and Uses Budget'!S89</f>
        <v>7500</v>
      </c>
      <c r="F88" s="506">
        <f t="shared" si="18"/>
        <v>7500</v>
      </c>
      <c r="G88" s="506"/>
      <c r="H88" s="505">
        <f>'Sources and Uses Budget'!T89</f>
        <v>0</v>
      </c>
      <c r="I88" s="506"/>
      <c r="J88" s="506"/>
      <c r="K88" s="500"/>
    </row>
    <row r="89" spans="1:11" s="219" customFormat="1">
      <c r="A89" s="205" t="s">
        <v>1748</v>
      </c>
      <c r="B89" s="505">
        <f>'Sources and Uses Budget'!C90</f>
        <v>15000</v>
      </c>
      <c r="C89" s="506">
        <f t="shared" si="17"/>
        <v>15000</v>
      </c>
      <c r="D89" s="506"/>
      <c r="E89" s="505">
        <f>'Sources and Uses Budget'!S90</f>
        <v>15000</v>
      </c>
      <c r="F89" s="506">
        <f t="shared" si="18"/>
        <v>15000</v>
      </c>
      <c r="G89" s="506"/>
      <c r="H89" s="505">
        <f>'Sources and Uses Budget'!T90</f>
        <v>0</v>
      </c>
      <c r="I89" s="506"/>
      <c r="J89" s="506"/>
      <c r="K89" s="500"/>
    </row>
    <row r="90" spans="1:11" s="219" customFormat="1">
      <c r="A90" s="205" t="s">
        <v>1749</v>
      </c>
      <c r="B90" s="505">
        <f>'Sources and Uses Budget'!C91</f>
        <v>15000</v>
      </c>
      <c r="C90" s="506">
        <f t="shared" si="17"/>
        <v>15000</v>
      </c>
      <c r="D90" s="506"/>
      <c r="E90" s="505">
        <f>'Sources and Uses Budget'!S91</f>
        <v>15000</v>
      </c>
      <c r="F90" s="506">
        <f t="shared" si="18"/>
        <v>15000</v>
      </c>
      <c r="G90" s="506"/>
      <c r="H90" s="505">
        <f>'Sources and Uses Budget'!T91</f>
        <v>0</v>
      </c>
      <c r="I90" s="506"/>
      <c r="J90" s="506"/>
      <c r="K90" s="500"/>
    </row>
    <row r="91" spans="1:11" s="219" customFormat="1">
      <c r="A91" s="205" t="str">
        <f>'Sources and Uses Budget'!$A92</f>
        <v>Other: Deputy Inspection</v>
      </c>
      <c r="B91" s="505">
        <f>'Sources and Uses Budget'!C92</f>
        <v>140000</v>
      </c>
      <c r="C91" s="506">
        <f t="shared" si="17"/>
        <v>140000</v>
      </c>
      <c r="D91" s="506"/>
      <c r="E91" s="505">
        <f>'Sources and Uses Budget'!S92</f>
        <v>140000</v>
      </c>
      <c r="F91" s="506">
        <f t="shared" si="18"/>
        <v>140000</v>
      </c>
      <c r="G91" s="506"/>
      <c r="H91" s="505">
        <f>'Sources and Uses Budget'!T92</f>
        <v>0</v>
      </c>
      <c r="I91" s="506"/>
      <c r="J91" s="506"/>
      <c r="K91" s="500"/>
    </row>
    <row r="92" spans="1:11" s="219" customFormat="1">
      <c r="A92" s="205" t="str">
        <f>'Sources and Uses Budget'!$A93</f>
        <v>Other: Green &amp; ADA Consultant</v>
      </c>
      <c r="B92" s="505">
        <f>'Sources and Uses Budget'!C93</f>
        <v>55000</v>
      </c>
      <c r="C92" s="506">
        <f t="shared" si="17"/>
        <v>55000</v>
      </c>
      <c r="D92" s="506"/>
      <c r="E92" s="505">
        <f>'Sources and Uses Budget'!S93</f>
        <v>55000</v>
      </c>
      <c r="F92" s="506">
        <f t="shared" si="18"/>
        <v>55000</v>
      </c>
      <c r="G92" s="506"/>
      <c r="H92" s="505">
        <f>'Sources and Uses Budget'!T93</f>
        <v>0</v>
      </c>
      <c r="I92" s="506"/>
      <c r="J92" s="506"/>
      <c r="K92" s="500"/>
    </row>
    <row r="93" spans="1:11" s="219" customFormat="1">
      <c r="A93" s="205" t="str">
        <f>'Sources and Uses Budget'!$A94</f>
        <v>Other: Lease-Up Fee</v>
      </c>
      <c r="B93" s="505">
        <f>'Sources and Uses Budget'!C94</f>
        <v>13200</v>
      </c>
      <c r="C93" s="506">
        <f t="shared" si="17"/>
        <v>13200</v>
      </c>
      <c r="D93" s="506"/>
      <c r="E93" s="505">
        <f>'Sources and Uses Budget'!S94</f>
        <v>0</v>
      </c>
      <c r="F93" s="506">
        <v>0</v>
      </c>
      <c r="G93" s="506"/>
      <c r="H93" s="505">
        <f>'Sources and Uses Budget'!T94</f>
        <v>0</v>
      </c>
      <c r="I93" s="506"/>
      <c r="J93" s="506"/>
      <c r="K93" s="500"/>
    </row>
    <row r="94" spans="1:11" s="219" customFormat="1">
      <c r="A94" s="209" t="s">
        <v>1753</v>
      </c>
      <c r="B94" s="505">
        <f>'Sources and Uses Budget'!C95</f>
        <v>787700</v>
      </c>
      <c r="C94" s="505">
        <f>SUM(C81:C93)</f>
        <v>787700</v>
      </c>
      <c r="D94" s="505">
        <f>SUM(D81:D93)</f>
        <v>0</v>
      </c>
      <c r="E94" s="505">
        <f>'Sources and Uses Budget'!S95</f>
        <v>734500</v>
      </c>
      <c r="F94" s="508">
        <f>SUM(F82:F85,F87:F93)</f>
        <v>734500</v>
      </c>
      <c r="G94" s="508">
        <f>SUM(G82:G85,G87:G93)</f>
        <v>0</v>
      </c>
      <c r="H94" s="505">
        <f>'Sources and Uses Budget'!T95</f>
        <v>0</v>
      </c>
      <c r="I94" s="505">
        <f>SUM(I82:I85,I87:I93)</f>
        <v>0</v>
      </c>
      <c r="J94" s="505">
        <f>SUM(J82:J85,J87:J93)</f>
        <v>0</v>
      </c>
      <c r="K94" s="500"/>
    </row>
    <row r="95" spans="1:11" s="219" customFormat="1">
      <c r="A95" s="209" t="s">
        <v>2302</v>
      </c>
      <c r="B95" s="505">
        <f>'Sources and Uses Budget'!C96</f>
        <v>20329000</v>
      </c>
      <c r="C95" s="505">
        <f>SUM(C61+C68+C75+C79+C94)</f>
        <v>20329000</v>
      </c>
      <c r="D95" s="505">
        <f>SUM(D61+D68+D75+D79+D94)</f>
        <v>0</v>
      </c>
      <c r="E95" s="505">
        <f>'Sources and Uses Budget'!S96</f>
        <v>17635850</v>
      </c>
      <c r="F95" s="508">
        <f>SUM(+F61+F68+F79+F94)</f>
        <v>17635850</v>
      </c>
      <c r="G95" s="508">
        <f>SUM(+G61+G68+G79+G94)</f>
        <v>0</v>
      </c>
      <c r="H95" s="505">
        <f>'Sources and Uses Budget'!T96</f>
        <v>0</v>
      </c>
      <c r="I95" s="508">
        <f>SUM(I61+I68+I79+I94)</f>
        <v>0</v>
      </c>
      <c r="J95" s="508">
        <f>SUM(J61+J68+J79+J94)</f>
        <v>0</v>
      </c>
      <c r="K95" s="500"/>
    </row>
    <row r="96" spans="1:11" s="219" customFormat="1">
      <c r="A96" s="201" t="s">
        <v>1755</v>
      </c>
      <c r="B96" s="504"/>
      <c r="C96" s="504"/>
      <c r="D96" s="504"/>
      <c r="E96" s="504"/>
      <c r="F96" s="504"/>
      <c r="G96" s="504"/>
      <c r="H96" s="504"/>
      <c r="I96" s="504"/>
      <c r="J96" s="504"/>
      <c r="K96" s="500"/>
    </row>
    <row r="97" spans="1:11" s="219" customFormat="1">
      <c r="A97" s="205" t="s">
        <v>1756</v>
      </c>
      <c r="B97" s="505">
        <f>'Sources and Uses Budget'!C98</f>
        <v>2200000</v>
      </c>
      <c r="C97" s="506">
        <f t="shared" ref="C97:C101" si="19">+B97</f>
        <v>2200000</v>
      </c>
      <c r="D97" s="506"/>
      <c r="E97" s="505">
        <f>'Sources and Uses Budget'!S98</f>
        <v>2200000</v>
      </c>
      <c r="F97" s="506">
        <f t="shared" ref="F97:F101" si="20">+C97</f>
        <v>2200000</v>
      </c>
      <c r="G97" s="506"/>
      <c r="H97" s="505">
        <f>'Sources and Uses Budget'!T98</f>
        <v>0</v>
      </c>
      <c r="I97" s="506"/>
      <c r="J97" s="506"/>
      <c r="K97" s="500"/>
    </row>
    <row r="98" spans="1:11" s="219" customFormat="1">
      <c r="A98" s="205" t="s">
        <v>1757</v>
      </c>
      <c r="B98" s="505">
        <f>'Sources and Uses Budget'!C99</f>
        <v>0</v>
      </c>
      <c r="C98" s="506">
        <f t="shared" si="19"/>
        <v>0</v>
      </c>
      <c r="D98" s="506"/>
      <c r="E98" s="505">
        <f>'Sources and Uses Budget'!S99</f>
        <v>0</v>
      </c>
      <c r="F98" s="506">
        <f t="shared" si="20"/>
        <v>0</v>
      </c>
      <c r="G98" s="506"/>
      <c r="H98" s="505">
        <f>'Sources and Uses Budget'!T99</f>
        <v>0</v>
      </c>
      <c r="I98" s="506"/>
      <c r="J98" s="506"/>
      <c r="K98" s="500"/>
    </row>
    <row r="99" spans="1:11" s="219" customFormat="1" ht="12" customHeight="1">
      <c r="A99" s="205" t="s">
        <v>1758</v>
      </c>
      <c r="B99" s="505">
        <f>'Sources and Uses Budget'!C100</f>
        <v>0</v>
      </c>
      <c r="C99" s="506">
        <f t="shared" si="19"/>
        <v>0</v>
      </c>
      <c r="D99" s="506"/>
      <c r="E99" s="505">
        <f>'Sources and Uses Budget'!S100</f>
        <v>0</v>
      </c>
      <c r="F99" s="506">
        <f t="shared" si="20"/>
        <v>0</v>
      </c>
      <c r="G99" s="506"/>
      <c r="H99" s="505">
        <f>'Sources and Uses Budget'!T100</f>
        <v>0</v>
      </c>
      <c r="I99" s="506"/>
      <c r="J99" s="506"/>
      <c r="K99" s="500"/>
    </row>
    <row r="100" spans="1:11" s="219" customFormat="1">
      <c r="A100" s="205" t="s">
        <v>1759</v>
      </c>
      <c r="B100" s="505">
        <f>'Sources and Uses Budget'!C101</f>
        <v>0</v>
      </c>
      <c r="C100" s="506">
        <f t="shared" si="19"/>
        <v>0</v>
      </c>
      <c r="D100" s="506"/>
      <c r="E100" s="505">
        <f>'Sources and Uses Budget'!S101</f>
        <v>0</v>
      </c>
      <c r="F100" s="506">
        <f t="shared" si="20"/>
        <v>0</v>
      </c>
      <c r="G100" s="506"/>
      <c r="H100" s="505">
        <f>'Sources and Uses Budget'!T101</f>
        <v>0</v>
      </c>
      <c r="I100" s="506"/>
      <c r="J100" s="506"/>
      <c r="K100" s="500"/>
    </row>
    <row r="101" spans="1:11" s="219" customFormat="1">
      <c r="A101" s="205">
        <f>'Sources and Uses Budget'!$A102</f>
        <v>0</v>
      </c>
      <c r="B101" s="505">
        <f>'Sources and Uses Budget'!C102</f>
        <v>0</v>
      </c>
      <c r="C101" s="506">
        <f t="shared" si="19"/>
        <v>0</v>
      </c>
      <c r="D101" s="506"/>
      <c r="E101" s="505">
        <f>'Sources and Uses Budget'!S102</f>
        <v>0</v>
      </c>
      <c r="F101" s="506">
        <f t="shared" si="20"/>
        <v>0</v>
      </c>
      <c r="G101" s="506"/>
      <c r="H101" s="505">
        <f>'Sources and Uses Budget'!T102</f>
        <v>0</v>
      </c>
      <c r="I101" s="506"/>
      <c r="J101" s="506"/>
      <c r="K101" s="500"/>
    </row>
    <row r="102" spans="1:11" s="219" customFormat="1">
      <c r="A102" s="209" t="s">
        <v>1760</v>
      </c>
      <c r="B102" s="505">
        <f>'Sources and Uses Budget'!C103</f>
        <v>2200000</v>
      </c>
      <c r="C102" s="505">
        <f>SUM(C97:C101)</f>
        <v>2200000</v>
      </c>
      <c r="D102" s="505">
        <f>SUM(D97:D101)</f>
        <v>0</v>
      </c>
      <c r="E102" s="505">
        <f>'Sources and Uses Budget'!S103</f>
        <v>2200000</v>
      </c>
      <c r="F102" s="508">
        <f>SUM(F97:F101)</f>
        <v>2200000</v>
      </c>
      <c r="G102" s="508">
        <f>SUM(G97:G101)</f>
        <v>0</v>
      </c>
      <c r="H102" s="505">
        <f>'Sources and Uses Budget'!T103</f>
        <v>0</v>
      </c>
      <c r="I102" s="508">
        <f>SUM(I97:I101)</f>
        <v>0</v>
      </c>
      <c r="J102" s="508">
        <f>SUM(J97:J101)</f>
        <v>0</v>
      </c>
      <c r="K102" s="500"/>
    </row>
    <row r="103" spans="1:11" s="219" customFormat="1">
      <c r="A103" s="209" t="s">
        <v>2303</v>
      </c>
      <c r="B103" s="505">
        <f>'Sources and Uses Budget'!C104</f>
        <v>22529000</v>
      </c>
      <c r="C103" s="508">
        <f>SUM(C95+C102)</f>
        <v>22529000</v>
      </c>
      <c r="D103" s="508">
        <f>SUM(D95+D102)</f>
        <v>0</v>
      </c>
      <c r="E103" s="505">
        <f>'Sources and Uses Budget'!S104</f>
        <v>19835850</v>
      </c>
      <c r="F103" s="508">
        <f>F95+F102</f>
        <v>19835850</v>
      </c>
      <c r="G103" s="508">
        <f>G95+G102</f>
        <v>0</v>
      </c>
      <c r="H103" s="505">
        <f>'Sources and Uses Budget'!T104</f>
        <v>0</v>
      </c>
      <c r="I103" s="508">
        <f>I95+I102</f>
        <v>0</v>
      </c>
      <c r="J103" s="508">
        <f>J95+J102</f>
        <v>0</v>
      </c>
      <c r="K103" s="500"/>
    </row>
    <row r="104" spans="1:11" s="219" customFormat="1">
      <c r="A104" s="217"/>
      <c r="B104" s="509"/>
      <c r="C104" s="509"/>
      <c r="D104" s="509"/>
      <c r="E104" s="505">
        <f>'Sources and Uses Budget'!S105</f>
        <v>0</v>
      </c>
      <c r="F104" s="506"/>
      <c r="G104" s="506"/>
      <c r="H104" s="505">
        <f>'Sources and Uses Budget'!T105</f>
        <v>0</v>
      </c>
      <c r="I104" s="506"/>
      <c r="J104" s="506"/>
      <c r="K104" s="500"/>
    </row>
    <row r="105" spans="1:11" s="219" customFormat="1">
      <c r="A105" s="482"/>
      <c r="B105" s="510"/>
      <c r="C105" s="509"/>
      <c r="D105" s="509"/>
      <c r="E105" s="505">
        <f>'Sources and Uses Budget'!S106</f>
        <v>19835850</v>
      </c>
      <c r="F105" s="508">
        <f>F103+F104</f>
        <v>19835850</v>
      </c>
      <c r="G105" s="508">
        <f>G103+G104</f>
        <v>0</v>
      </c>
      <c r="H105" s="505">
        <f>'Sources and Uses Budget'!T106</f>
        <v>0</v>
      </c>
      <c r="I105" s="508">
        <f>I103+I104</f>
        <v>0</v>
      </c>
      <c r="J105" s="508">
        <f>J103+J104</f>
        <v>0</v>
      </c>
      <c r="K105" s="500"/>
    </row>
    <row r="106" spans="1:11" s="219" customFormat="1" hidden="1">
      <c r="A106" s="482"/>
      <c r="B106" s="218"/>
      <c r="C106" s="218"/>
      <c r="D106" s="218"/>
      <c r="J106" s="503"/>
      <c r="K106" s="500"/>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8" priority="6" stopIfTrue="1" operator="notEqual">
      <formula>$C3+$D3</formula>
    </cfRule>
  </conditionalFormatting>
  <conditionalFormatting sqref="E3:E31 E34:E105">
    <cfRule type="cellIs" dxfId="7" priority="3" stopIfTrue="1" operator="notEqual">
      <formula>$F3+$G3</formula>
    </cfRule>
  </conditionalFormatting>
  <conditionalFormatting sqref="E32">
    <cfRule type="cellIs" dxfId="6" priority="243" stopIfTrue="1" operator="notEqual">
      <formula>$F33+$G32</formula>
    </cfRule>
  </conditionalFormatting>
  <conditionalFormatting sqref="E33">
    <cfRule type="cellIs" dxfId="5" priority="244" stopIfTrue="1" operator="notEqual">
      <formula>#REF!+$G33</formula>
    </cfRule>
  </conditionalFormatting>
  <conditionalFormatting sqref="H3:H105">
    <cfRule type="cellIs" dxfId="4"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3"/>
  <cols>
    <col min="1" max="10" width="2.44140625" style="801" customWidth="1"/>
    <col min="11" max="11" width="2.44140625" style="802" customWidth="1"/>
    <col min="12" max="43" width="2.44140625" style="801" customWidth="1"/>
    <col min="44" max="47" width="2.44140625" style="801" hidden="1" customWidth="1"/>
    <col min="48" max="16384" width="9.1640625" style="801" hidden="1"/>
  </cols>
  <sheetData>
    <row r="1" spans="1:57" ht="15" customHeight="1">
      <c r="A1" s="1802" t="s">
        <v>2304</v>
      </c>
      <c r="B1" s="1802"/>
      <c r="C1" s="1802"/>
      <c r="D1" s="1802"/>
      <c r="E1" s="1802"/>
      <c r="F1" s="1802"/>
      <c r="G1" s="1802"/>
      <c r="H1" s="1802"/>
      <c r="I1" s="1802"/>
      <c r="J1" s="1802"/>
      <c r="K1" s="1802"/>
      <c r="L1" s="1802"/>
      <c r="M1" s="1802"/>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c r="AL1" s="1802"/>
      <c r="AM1" s="1802"/>
      <c r="AN1" s="1802"/>
      <c r="AO1" s="1802"/>
      <c r="AP1" s="1802"/>
      <c r="AQ1" s="1802"/>
    </row>
    <row r="2" spans="1:57" ht="15" customHeight="1">
      <c r="A2" s="1802"/>
      <c r="B2" s="1802"/>
      <c r="C2" s="1802"/>
      <c r="D2" s="1802"/>
      <c r="E2" s="1802"/>
      <c r="F2" s="1802"/>
      <c r="G2" s="1802"/>
      <c r="H2" s="1802"/>
      <c r="I2" s="1802"/>
      <c r="J2" s="1802"/>
      <c r="K2" s="1802"/>
      <c r="L2" s="1802"/>
      <c r="M2" s="1802"/>
      <c r="N2" s="1802"/>
      <c r="O2" s="1802"/>
      <c r="P2" s="1802"/>
      <c r="Q2" s="1802"/>
      <c r="R2" s="1802"/>
      <c r="S2" s="1802"/>
      <c r="T2" s="1802"/>
      <c r="U2" s="1802"/>
      <c r="V2" s="1802"/>
      <c r="W2" s="1802"/>
      <c r="X2" s="1802"/>
      <c r="Y2" s="1802"/>
      <c r="Z2" s="1802"/>
      <c r="AA2" s="1802"/>
      <c r="AB2" s="1802"/>
      <c r="AC2" s="1802"/>
      <c r="AD2" s="1802"/>
      <c r="AE2" s="1802"/>
      <c r="AF2" s="1802"/>
      <c r="AG2" s="1802"/>
      <c r="AH2" s="1802"/>
      <c r="AI2" s="1802"/>
      <c r="AJ2" s="1802"/>
      <c r="AK2" s="1802"/>
      <c r="AL2" s="1802"/>
      <c r="AM2" s="1802"/>
      <c r="AN2" s="1802"/>
      <c r="AO2" s="1802"/>
      <c r="AP2" s="1802"/>
      <c r="AQ2" s="1802"/>
    </row>
    <row r="3" spans="1:57">
      <c r="A3" s="803"/>
      <c r="B3" s="803"/>
      <c r="I3" s="804"/>
      <c r="K3" s="805"/>
    </row>
    <row r="4" spans="1:57" ht="14.25" customHeight="1">
      <c r="A4" s="1801" t="s">
        <v>2305</v>
      </c>
      <c r="B4" s="1801"/>
      <c r="C4" s="1801"/>
      <c r="D4" s="1801"/>
      <c r="E4" s="1801"/>
      <c r="F4" s="1801"/>
      <c r="G4" s="1801"/>
      <c r="H4" s="1801"/>
      <c r="I4" s="1801"/>
      <c r="J4" s="1801"/>
      <c r="K4" s="1801"/>
      <c r="L4" s="1801"/>
      <c r="M4" s="1801"/>
      <c r="N4" s="1801"/>
      <c r="O4" s="1801"/>
      <c r="P4" s="1801"/>
      <c r="Q4" s="1801"/>
      <c r="R4" s="1801"/>
      <c r="S4" s="1801"/>
      <c r="T4" s="1801"/>
      <c r="U4" s="1801"/>
      <c r="V4" s="1801"/>
      <c r="W4" s="1801"/>
      <c r="X4" s="1801"/>
      <c r="Y4" s="1801"/>
      <c r="Z4" s="1801"/>
      <c r="AA4" s="1801"/>
      <c r="AB4" s="1801"/>
      <c r="AC4" s="1801"/>
      <c r="AD4" s="1801"/>
      <c r="AE4" s="1801"/>
      <c r="AF4" s="1801"/>
      <c r="AG4" s="1801"/>
      <c r="AH4" s="1801"/>
      <c r="AI4" s="1801"/>
      <c r="AJ4" s="1801"/>
      <c r="AK4" s="1801"/>
      <c r="AL4" s="1801"/>
      <c r="AM4" s="1801"/>
      <c r="AN4" s="1801"/>
      <c r="AO4" s="1801"/>
      <c r="AP4" s="1801"/>
      <c r="AQ4" s="1801"/>
    </row>
    <row r="5" spans="1:57">
      <c r="A5" s="803"/>
      <c r="B5" s="803"/>
      <c r="I5" s="804"/>
      <c r="K5" s="805"/>
    </row>
    <row r="6" spans="1:57">
      <c r="A6" s="803"/>
      <c r="B6" s="803"/>
      <c r="D6" s="801" t="s">
        <v>2306</v>
      </c>
      <c r="I6" s="804"/>
      <c r="K6" s="805"/>
      <c r="U6" s="1800"/>
      <c r="V6" s="1800"/>
      <c r="W6" s="1800"/>
      <c r="BC6" s="801" t="s">
        <v>2307</v>
      </c>
    </row>
    <row r="7" spans="1:57">
      <c r="A7" s="803"/>
      <c r="B7" s="803"/>
      <c r="D7" s="426" t="s">
        <v>2308</v>
      </c>
      <c r="I7" s="804"/>
      <c r="K7" s="805"/>
      <c r="BC7" s="801" t="s">
        <v>2309</v>
      </c>
    </row>
    <row r="8" spans="1:57">
      <c r="A8" s="803"/>
      <c r="B8" s="803"/>
      <c r="D8" s="426"/>
      <c r="E8" s="801" t="s">
        <v>2310</v>
      </c>
      <c r="BC8" s="801" t="s">
        <v>2311</v>
      </c>
    </row>
    <row r="9" spans="1:57">
      <c r="A9" s="803"/>
      <c r="B9" s="803"/>
      <c r="E9" s="801" t="s">
        <v>2312</v>
      </c>
      <c r="I9" s="804"/>
      <c r="K9" s="805"/>
      <c r="P9" s="1808"/>
      <c r="Q9" s="1808"/>
      <c r="R9" s="1808"/>
      <c r="S9" s="1808"/>
      <c r="T9" s="1808"/>
    </row>
    <row r="10" spans="1:57">
      <c r="A10" s="803"/>
      <c r="B10" s="803"/>
      <c r="I10" s="804"/>
      <c r="K10" s="805"/>
    </row>
    <row r="11" spans="1:57">
      <c r="A11" s="1801" t="s">
        <v>2313</v>
      </c>
      <c r="B11" s="1801"/>
      <c r="C11" s="1801"/>
      <c r="D11" s="1801"/>
      <c r="E11" s="1801"/>
      <c r="F11" s="1801"/>
      <c r="G11" s="1801"/>
      <c r="H11" s="1801"/>
      <c r="I11" s="1801"/>
      <c r="J11" s="1801"/>
      <c r="K11" s="1801"/>
      <c r="L11" s="1801"/>
      <c r="M11" s="1801"/>
      <c r="N11" s="1801"/>
      <c r="O11" s="1801"/>
      <c r="P11" s="1801"/>
      <c r="Q11" s="1801"/>
      <c r="R11" s="1801"/>
      <c r="S11" s="1801"/>
      <c r="T11" s="1801"/>
      <c r="U11" s="1801"/>
      <c r="V11" s="1801"/>
      <c r="W11" s="1801"/>
      <c r="X11" s="1801"/>
      <c r="Y11" s="1801"/>
      <c r="Z11" s="1801"/>
      <c r="AA11" s="1801"/>
      <c r="AB11" s="1801"/>
      <c r="AC11" s="1801"/>
      <c r="AD11" s="1801"/>
      <c r="AE11" s="1801"/>
      <c r="AF11" s="1801"/>
      <c r="AG11" s="1801"/>
      <c r="AH11" s="1801"/>
      <c r="AI11" s="1801"/>
      <c r="AJ11" s="1801"/>
      <c r="AK11" s="1801"/>
      <c r="AL11" s="1801"/>
      <c r="AM11" s="1801"/>
      <c r="AN11" s="1801"/>
      <c r="AO11" s="1801"/>
      <c r="AP11" s="1801"/>
      <c r="AQ11" s="1801"/>
      <c r="BC11" s="801" t="s">
        <v>826</v>
      </c>
    </row>
    <row r="12" spans="1:57">
      <c r="A12" s="803"/>
      <c r="B12" s="803"/>
      <c r="I12" s="804"/>
      <c r="K12" s="805"/>
      <c r="BC12" s="801" t="s">
        <v>712</v>
      </c>
    </row>
    <row r="13" spans="1:57">
      <c r="A13" s="803"/>
      <c r="B13" s="803"/>
      <c r="D13" s="801" t="s">
        <v>2314</v>
      </c>
      <c r="I13" s="804"/>
      <c r="K13" s="805"/>
      <c r="T13" s="1800"/>
      <c r="U13" s="1800"/>
      <c r="V13" s="1800"/>
    </row>
    <row r="14" spans="1:57">
      <c r="A14" s="803"/>
      <c r="B14" s="803"/>
      <c r="E14" s="801" t="s">
        <v>2315</v>
      </c>
      <c r="I14" s="804"/>
      <c r="K14" s="805"/>
      <c r="N14" s="1806"/>
      <c r="O14" s="1806"/>
      <c r="P14" s="1806"/>
      <c r="Q14" s="1806"/>
      <c r="R14" s="1806"/>
      <c r="S14" s="1806"/>
      <c r="T14" s="1806"/>
      <c r="U14" s="1806"/>
      <c r="V14" s="1806"/>
      <c r="W14" s="1806"/>
      <c r="X14" s="1806"/>
      <c r="Y14" s="1806"/>
      <c r="Z14" s="1806"/>
      <c r="AA14" s="1806"/>
      <c r="AB14" s="1806"/>
      <c r="AC14" s="1806"/>
      <c r="AD14" s="1806"/>
      <c r="AE14" s="1806"/>
    </row>
    <row r="15" spans="1:57">
      <c r="A15" s="803"/>
      <c r="B15" s="803"/>
      <c r="E15" s="801" t="s">
        <v>2316</v>
      </c>
      <c r="I15" s="804"/>
      <c r="K15" s="805"/>
      <c r="N15" s="822"/>
      <c r="O15" s="822"/>
      <c r="P15" s="822"/>
      <c r="Q15" s="822"/>
      <c r="R15" s="822"/>
      <c r="S15" s="822"/>
      <c r="T15" s="822"/>
      <c r="U15" s="822"/>
      <c r="V15" s="822"/>
      <c r="W15" s="822"/>
      <c r="X15" s="822"/>
      <c r="Y15" s="822"/>
      <c r="Z15" s="822"/>
      <c r="AA15" s="822"/>
      <c r="AB15" s="822"/>
      <c r="AC15" s="822"/>
      <c r="AD15" s="822"/>
      <c r="AE15" s="822"/>
      <c r="BC15" s="801" t="s">
        <v>2317</v>
      </c>
      <c r="BE15" s="801">
        <f>'Basis &amp; Credits'!AB55</f>
        <v>1751720.4</v>
      </c>
    </row>
    <row r="16" spans="1:57">
      <c r="A16" s="803"/>
      <c r="B16" s="803"/>
      <c r="BC16" s="801" t="s">
        <v>2318</v>
      </c>
      <c r="BE16" s="801">
        <f>'Basis &amp; Credits'!T11+'Basis &amp; Credits'!AD11</f>
        <v>19835850</v>
      </c>
    </row>
    <row r="17" spans="1:43">
      <c r="A17" s="803"/>
      <c r="B17" s="803"/>
      <c r="D17" s="801" t="s">
        <v>2319</v>
      </c>
      <c r="I17" s="804"/>
      <c r="K17" s="805"/>
      <c r="U17" s="1807" t="str">
        <f>IF(T13="yes",(BE15/BE16)," ")</f>
        <v xml:space="preserve"> </v>
      </c>
      <c r="V17" s="1807"/>
      <c r="W17" s="1807"/>
      <c r="X17" s="1807"/>
      <c r="Y17" s="1807"/>
    </row>
    <row r="18" spans="1:43">
      <c r="A18" s="803"/>
      <c r="B18" s="803"/>
      <c r="I18" s="804"/>
      <c r="K18" s="805"/>
    </row>
    <row r="19" spans="1:43">
      <c r="A19" s="1801" t="s">
        <v>2320</v>
      </c>
      <c r="B19" s="1801"/>
      <c r="C19" s="1801"/>
      <c r="D19" s="1801"/>
      <c r="E19" s="1801"/>
      <c r="F19" s="1801"/>
      <c r="G19" s="1801"/>
      <c r="H19" s="1801"/>
      <c r="I19" s="1801"/>
      <c r="J19" s="1801"/>
      <c r="K19" s="1801"/>
      <c r="L19" s="1801"/>
      <c r="M19" s="1801"/>
      <c r="N19" s="1801"/>
      <c r="O19" s="1801"/>
      <c r="P19" s="1801"/>
      <c r="Q19" s="1801"/>
      <c r="R19" s="1801"/>
      <c r="S19" s="1801"/>
      <c r="T19" s="1801"/>
      <c r="U19" s="1801"/>
      <c r="V19" s="1801"/>
      <c r="W19" s="1801"/>
      <c r="X19" s="1801"/>
      <c r="Y19" s="1801"/>
      <c r="Z19" s="1801"/>
      <c r="AA19" s="1801"/>
      <c r="AB19" s="1801"/>
      <c r="AC19" s="1801"/>
      <c r="AD19" s="1801"/>
      <c r="AE19" s="1801"/>
      <c r="AF19" s="1801"/>
      <c r="AG19" s="1801"/>
      <c r="AH19" s="1801"/>
      <c r="AI19" s="1801"/>
      <c r="AJ19" s="1801"/>
      <c r="AK19" s="1801"/>
      <c r="AL19" s="1801"/>
      <c r="AM19" s="1801"/>
      <c r="AN19" s="1801"/>
      <c r="AO19" s="1801"/>
      <c r="AP19" s="1801"/>
      <c r="AQ19" s="1801"/>
    </row>
    <row r="20" spans="1:43">
      <c r="C20" s="803"/>
      <c r="D20" s="803"/>
      <c r="K20" s="804"/>
      <c r="M20" s="805"/>
    </row>
    <row r="21" spans="1:43">
      <c r="C21" s="803"/>
      <c r="D21" s="803"/>
      <c r="K21" s="804"/>
      <c r="M21" s="805"/>
    </row>
    <row r="22" spans="1:43">
      <c r="C22" s="806" t="s">
        <v>2052</v>
      </c>
      <c r="D22" s="806"/>
      <c r="E22" s="801" t="s">
        <v>2321</v>
      </c>
      <c r="H22" s="807"/>
      <c r="K22" s="801"/>
      <c r="Q22" s="1809">
        <f>ROUND('Basis &amp; Credits'!AB55,0)</f>
        <v>1751720</v>
      </c>
      <c r="R22" s="1809"/>
      <c r="S22" s="1809"/>
      <c r="T22" s="1809"/>
      <c r="U22" s="1809"/>
      <c r="V22" s="1809"/>
      <c r="W22" s="1809"/>
      <c r="X22" s="1809"/>
      <c r="Y22" s="821"/>
    </row>
    <row r="23" spans="1:43">
      <c r="C23" s="803"/>
      <c r="D23" s="803"/>
      <c r="G23" s="808"/>
      <c r="H23" s="808"/>
      <c r="I23" s="809"/>
      <c r="J23" s="809"/>
      <c r="K23" s="808"/>
      <c r="M23" s="802"/>
    </row>
    <row r="24" spans="1:43">
      <c r="C24" s="810"/>
      <c r="D24" s="810"/>
      <c r="E24" s="811"/>
      <c r="J24" s="809"/>
      <c r="K24" s="801"/>
      <c r="L24" s="1812" t="s">
        <v>2322</v>
      </c>
      <c r="M24" s="1812"/>
      <c r="N24" s="1812"/>
      <c r="P24" s="1797" t="s">
        <v>2323</v>
      </c>
      <c r="Q24" s="1797"/>
      <c r="R24" s="1797"/>
      <c r="S24" s="1797"/>
      <c r="T24" s="1797"/>
      <c r="V24" s="1797" t="s">
        <v>2324</v>
      </c>
      <c r="W24" s="1797"/>
      <c r="X24" s="1797"/>
    </row>
    <row r="25" spans="1:43">
      <c r="C25" s="806" t="s">
        <v>2056</v>
      </c>
      <c r="D25" s="806"/>
      <c r="E25" s="801" t="s">
        <v>2325</v>
      </c>
      <c r="J25" s="809"/>
      <c r="L25" s="1798" t="s">
        <v>2326</v>
      </c>
      <c r="M25" s="1798"/>
      <c r="N25" s="1798"/>
      <c r="P25" s="1798" t="s">
        <v>2327</v>
      </c>
      <c r="Q25" s="1798"/>
      <c r="R25" s="1798"/>
      <c r="S25" s="1798"/>
      <c r="T25" s="1798"/>
      <c r="V25" s="1798" t="s">
        <v>2326</v>
      </c>
      <c r="W25" s="1798"/>
      <c r="X25" s="1798"/>
    </row>
    <row r="26" spans="1:43">
      <c r="C26" s="803"/>
      <c r="D26" s="803"/>
      <c r="E26" s="812" t="s">
        <v>2328</v>
      </c>
      <c r="F26" s="812"/>
      <c r="J26" s="813"/>
      <c r="L26" s="1810">
        <f>Application!BN613</f>
        <v>43</v>
      </c>
      <c r="M26" s="1810"/>
      <c r="N26" s="1810"/>
      <c r="P26" s="1799">
        <v>0.9</v>
      </c>
      <c r="Q26" s="1799"/>
      <c r="R26" s="1799"/>
      <c r="S26" s="1799"/>
      <c r="T26" s="1799"/>
      <c r="V26" s="1799">
        <f>L26*P26</f>
        <v>38.700000000000003</v>
      </c>
      <c r="W26" s="1799"/>
      <c r="X26" s="1799"/>
    </row>
    <row r="27" spans="1:43">
      <c r="C27" s="803"/>
      <c r="D27" s="803"/>
      <c r="E27" s="801" t="s">
        <v>2329</v>
      </c>
      <c r="J27" s="813"/>
      <c r="L27" s="1790">
        <f>Application!BS613</f>
        <v>0</v>
      </c>
      <c r="M27" s="1790">
        <f>Application!BS621+Application!BS630+Application!CX644</f>
        <v>0</v>
      </c>
      <c r="N27" s="1790"/>
      <c r="P27" s="1795">
        <v>1</v>
      </c>
      <c r="Q27" s="1795"/>
      <c r="R27" s="1795"/>
      <c r="S27" s="1795"/>
      <c r="T27" s="1795"/>
      <c r="V27" s="1795">
        <f>L27*P27</f>
        <v>0</v>
      </c>
      <c r="W27" s="1795"/>
      <c r="X27" s="1795"/>
    </row>
    <row r="28" spans="1:43">
      <c r="C28" s="803"/>
      <c r="D28" s="803"/>
      <c r="E28" s="801" t="s">
        <v>2330</v>
      </c>
      <c r="J28" s="813"/>
      <c r="L28" s="1790">
        <f>Application!BX613</f>
        <v>0</v>
      </c>
      <c r="M28" s="1790">
        <f>Application!BX621+Application!BX630+Application!DC644</f>
        <v>0</v>
      </c>
      <c r="N28" s="1790"/>
      <c r="P28" s="1795">
        <v>1.25</v>
      </c>
      <c r="Q28" s="1795"/>
      <c r="R28" s="1795"/>
      <c r="S28" s="1795"/>
      <c r="T28" s="1795"/>
      <c r="V28" s="1795">
        <f>L28*P28</f>
        <v>0</v>
      </c>
      <c r="W28" s="1795"/>
      <c r="X28" s="1795"/>
    </row>
    <row r="29" spans="1:43">
      <c r="C29" s="803"/>
      <c r="D29" s="803"/>
      <c r="E29" s="801" t="s">
        <v>2331</v>
      </c>
      <c r="J29" s="813"/>
      <c r="L29" s="1790">
        <f>Application!CC613</f>
        <v>0</v>
      </c>
      <c r="M29" s="1790">
        <f>Application!CC621+Application!CC630+Application!DH644</f>
        <v>0</v>
      </c>
      <c r="N29" s="1790"/>
      <c r="P29" s="1795">
        <v>1.5</v>
      </c>
      <c r="Q29" s="1795"/>
      <c r="R29" s="1795"/>
      <c r="S29" s="1795"/>
      <c r="T29" s="1795"/>
      <c r="V29" s="1795">
        <f>L29*P29</f>
        <v>0</v>
      </c>
      <c r="W29" s="1795"/>
      <c r="X29" s="1795"/>
    </row>
    <row r="30" spans="1:43">
      <c r="C30" s="803"/>
      <c r="D30" s="803"/>
      <c r="E30" s="801" t="s">
        <v>2332</v>
      </c>
      <c r="J30" s="813"/>
      <c r="L30" s="1791">
        <f>Application!CH613+Application!CM613</f>
        <v>0</v>
      </c>
      <c r="M30" s="1791"/>
      <c r="N30" s="1791"/>
      <c r="P30" s="1795">
        <v>1.75</v>
      </c>
      <c r="Q30" s="1795"/>
      <c r="R30" s="1795">
        <f>1.75+0.25*0</f>
        <v>1.75</v>
      </c>
      <c r="S30" s="1795"/>
      <c r="T30" s="1795"/>
      <c r="V30" s="1796">
        <f>L30*P30</f>
        <v>0</v>
      </c>
      <c r="W30" s="1796"/>
      <c r="X30" s="1796"/>
    </row>
    <row r="31" spans="1:43">
      <c r="C31" s="803"/>
      <c r="D31" s="803"/>
      <c r="L31" s="1810">
        <f>SUM(L26:N30)</f>
        <v>43</v>
      </c>
      <c r="M31" s="1811"/>
      <c r="N31" s="1811"/>
      <c r="V31" s="1799">
        <f>SUM(V26:X30)</f>
        <v>38.700000000000003</v>
      </c>
      <c r="W31" s="1799"/>
      <c r="X31" s="1799"/>
    </row>
    <row r="32" spans="1:43">
      <c r="C32" s="803"/>
      <c r="D32" s="803"/>
      <c r="K32" s="814"/>
    </row>
    <row r="33" spans="1:27">
      <c r="C33" s="806" t="s">
        <v>2059</v>
      </c>
      <c r="D33" s="806"/>
      <c r="E33" s="803" t="s">
        <v>2333</v>
      </c>
      <c r="H33" s="815"/>
      <c r="I33" s="816"/>
      <c r="J33" s="817"/>
      <c r="K33" s="814"/>
      <c r="M33" s="802"/>
      <c r="V33" s="1792">
        <f>IF(V31&gt;0,V31/Q22," ")</f>
        <v>2.2092571872217022E-5</v>
      </c>
      <c r="W33" s="1793"/>
      <c r="X33" s="1793"/>
      <c r="Y33" s="1793"/>
      <c r="Z33" s="1793"/>
      <c r="AA33" s="1794"/>
    </row>
    <row r="34" spans="1:27">
      <c r="K34" s="801"/>
      <c r="M34" s="802"/>
    </row>
    <row r="35" spans="1:27">
      <c r="E35" s="803" t="s">
        <v>2334</v>
      </c>
      <c r="F35" s="803"/>
      <c r="G35" s="803"/>
      <c r="H35" s="803"/>
      <c r="I35" s="803"/>
      <c r="J35" s="803"/>
      <c r="K35" s="803"/>
      <c r="L35" s="803"/>
      <c r="M35" s="823"/>
      <c r="N35" s="803"/>
      <c r="O35" s="803"/>
      <c r="P35" s="803"/>
      <c r="Q35" s="803"/>
      <c r="R35" s="803"/>
      <c r="V35" s="1803">
        <f>IF(V31&gt;0,1/V33," ")</f>
        <v>45264.082687338501</v>
      </c>
      <c r="W35" s="1804"/>
      <c r="X35" s="1804"/>
      <c r="Y35" s="1804"/>
      <c r="Z35" s="1804"/>
      <c r="AA35" s="1805"/>
    </row>
    <row r="36" spans="1:27" ht="12.75" customHeight="1">
      <c r="B36" s="818"/>
      <c r="C36" s="818"/>
      <c r="D36" s="818"/>
      <c r="E36" s="818"/>
      <c r="F36" s="818"/>
      <c r="G36" s="818"/>
      <c r="H36" s="818"/>
      <c r="I36" s="818"/>
    </row>
    <row r="37" spans="1:27">
      <c r="A37" s="818"/>
      <c r="B37" s="818"/>
      <c r="C37" s="818"/>
      <c r="D37" s="818"/>
      <c r="E37" s="818"/>
      <c r="F37" s="818"/>
      <c r="G37" s="818"/>
      <c r="H37" s="818"/>
      <c r="I37" s="818"/>
    </row>
    <row r="38" spans="1:27">
      <c r="A38" s="818"/>
      <c r="B38" s="818"/>
      <c r="C38" s="818"/>
      <c r="D38" s="818"/>
      <c r="E38" s="818"/>
      <c r="F38" s="818"/>
      <c r="G38" s="818"/>
      <c r="H38" s="818"/>
      <c r="I38" s="818"/>
    </row>
    <row r="39" spans="1:27">
      <c r="A39" s="818"/>
      <c r="B39" s="818"/>
      <c r="C39" s="818"/>
      <c r="D39" s="818"/>
      <c r="E39" s="818"/>
      <c r="F39" s="818"/>
      <c r="G39" s="818"/>
      <c r="H39" s="818"/>
      <c r="I39" s="818"/>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39580F16596274AB5BD5AEEBB3D2662" ma:contentTypeVersion="19" ma:contentTypeDescription="Create a new document." ma:contentTypeScope="" ma:versionID="c1ccf76aae644bf05fbd08ecc96e2b3a">
  <xsd:schema xmlns:xsd="http://www.w3.org/2001/XMLSchema" xmlns:xs="http://www.w3.org/2001/XMLSchema" xmlns:p="http://schemas.microsoft.com/office/2006/metadata/properties" xmlns:ns2="6adf0dfd-58e8-49f3-8a86-c6ab54a86c87" xmlns:ns3="8b5da3e9-0750-403d-9fea-55fa74143c2f" targetNamespace="http://schemas.microsoft.com/office/2006/metadata/properties" ma:root="true" ma:fieldsID="c4c2581e2a3432321d42f46af3820d37" ns2:_="" ns3:_="">
    <xsd:import namespace="6adf0dfd-58e8-49f3-8a86-c6ab54a86c87"/>
    <xsd:import namespace="8b5da3e9-0750-403d-9fea-55fa74143c2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lcf76f155ced4ddcb4097134ff3c332f" minOccurs="0"/>
                <xsd:element ref="ns3:TaxCatchAll" minOccurs="0"/>
                <xsd:element ref="ns2:ItemsinFol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df0dfd-58e8-49f3-8a86-c6ab54a86c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f7608f0-8103-4d2d-a4e9-d2be3324aad4" ma:termSetId="09814cd3-568e-fe90-9814-8d621ff8fb84" ma:anchorId="fba54fb3-c3e1-fe81-a776-ca4b69148c4d" ma:open="true" ma:isKeyword="false">
      <xsd:complexType>
        <xsd:sequence>
          <xsd:element ref="pc:Terms" minOccurs="0" maxOccurs="1"/>
        </xsd:sequence>
      </xsd:complexType>
    </xsd:element>
    <xsd:element name="ItemsinFolder" ma:index="24" nillable="true" ma:displayName="Items in Folder" ma:format="Dropdown" ma:internalName="ItemsinFold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8b5da3e9-0750-403d-9fea-55fa74143c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18461d1-8a8a-446b-a407-e77d43ce34fd}" ma:internalName="TaxCatchAll" ma:showField="CatchAllData" ma:web="8b5da3e9-0750-403d-9fea-55fa74143c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5A10796-EE8B-4DE4-BD05-3C58BBF10B63}">
  <ds:schemaRefs>
    <ds:schemaRef ds:uri="http://schemas.microsoft.com/sharepoint/v3/contenttype/forms"/>
  </ds:schemaRefs>
</ds:datastoreItem>
</file>

<file path=customXml/itemProps2.xml><?xml version="1.0" encoding="utf-8"?>
<ds:datastoreItem xmlns:ds="http://schemas.openxmlformats.org/officeDocument/2006/customXml" ds:itemID="{50760D96-A2CB-4AD9-BE7D-8DE4774474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df0dfd-58e8-49f3-8a86-c6ab54a86c87"/>
    <ds:schemaRef ds:uri="8b5da3e9-0750-403d-9fea-55fa74143c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Points System</vt:lpstr>
      <vt:lpstr>Sources and Basis Breakdown</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Dalila Sotelo</cp:lastModifiedBy>
  <cp:revision/>
  <cp:lastPrinted>2023-04-24T19:46:06Z</cp:lastPrinted>
  <dcterms:created xsi:type="dcterms:W3CDTF">2007-12-27T18:26:28Z</dcterms:created>
  <dcterms:modified xsi:type="dcterms:W3CDTF">2023-04-24T23:02:30Z</dcterms:modified>
  <cp:category/>
  <cp:contentStatus/>
</cp:coreProperties>
</file>