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4"/>
  <workbookPr showInkAnnotation="0" codeName="ThisWorkbook" defaultThemeVersion="124226"/>
  <mc:AlternateContent xmlns:mc="http://schemas.openxmlformats.org/markup-compatibility/2006">
    <mc:Choice Requires="x15">
      <x15ac:absPath xmlns:x15ac="http://schemas.microsoft.com/office/spreadsheetml/2010/11/ac" url="S:\LA Scattered Site - Los Angeles - DHI\3.2 CTCAC\CTCAC application\Ready For Review\Reviewed\_USB Drive upload\"/>
    </mc:Choice>
  </mc:AlternateContent>
  <xr:revisionPtr revIDLastSave="0" documentId="13_ncr:1_{6A9463F6-3B77-4406-AB62-FF539E2D6FA0}" xr6:coauthVersionLast="47" xr6:coauthVersionMax="47" xr10:uidLastSave="{00000000-0000-0000-0000-000000000000}"/>
  <bookViews>
    <workbookView xWindow="-120" yWindow="-120" windowWidth="29040" windowHeight="15840" tabRatio="90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'!$A$1:$S$120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1" i="3" l="1"/>
  <c r="L280" i="3"/>
  <c r="L279" i="3"/>
  <c r="AB278" i="3"/>
  <c r="L278" i="3"/>
  <c r="L277" i="3"/>
  <c r="S45" i="4"/>
  <c r="C72" i="4" l="1"/>
  <c r="C73" i="4"/>
  <c r="M923" i="3" l="1"/>
  <c r="E98" i="25"/>
  <c r="E97" i="25"/>
  <c r="E96" i="25"/>
  <c r="E95" i="25"/>
  <c r="E94" i="25"/>
  <c r="E93" i="25"/>
  <c r="E92" i="25"/>
  <c r="E91" i="25"/>
  <c r="E90" i="25"/>
  <c r="Q384" i="3"/>
  <c r="E45" i="4"/>
  <c r="AA897" i="3"/>
  <c r="T618" i="3" l="1"/>
  <c r="E586" i="6"/>
  <c r="E583" i="6"/>
  <c r="E582" i="6"/>
  <c r="E579" i="6"/>
  <c r="G98" i="25" l="1"/>
  <c r="G99" i="25"/>
  <c r="G100" i="25"/>
  <c r="G101" i="25"/>
  <c r="G102" i="25"/>
  <c r="G103" i="25"/>
  <c r="G104" i="25"/>
  <c r="G105" i="25"/>
  <c r="G106" i="25"/>
  <c r="G107" i="25"/>
  <c r="G97" i="25"/>
  <c r="Z572" i="3"/>
  <c r="Z580" i="3"/>
  <c r="I414" i="3"/>
  <c r="B12" i="10" l="1"/>
  <c r="B13" i="10"/>
  <c r="B14" i="10"/>
  <c r="B15" i="10"/>
  <c r="B16" i="10"/>
  <c r="B17" i="10"/>
  <c r="B18" i="10"/>
  <c r="B19" i="10"/>
  <c r="B20" i="10"/>
  <c r="G89" i="18"/>
  <c r="G64" i="18"/>
  <c r="G65" i="18"/>
  <c r="G66" i="18"/>
  <c r="G67" i="18"/>
  <c r="G63" i="18"/>
  <c r="G45" i="18"/>
  <c r="G46" i="18"/>
  <c r="G47" i="18"/>
  <c r="G48" i="18"/>
  <c r="G49" i="18"/>
  <c r="G50" i="18"/>
  <c r="G42" i="18"/>
  <c r="G40" i="18"/>
  <c r="G39" i="18"/>
  <c r="G26" i="18"/>
  <c r="G17" i="18"/>
  <c r="D26" i="18"/>
  <c r="D97" i="18"/>
  <c r="D64" i="18"/>
  <c r="D65" i="18"/>
  <c r="D66" i="18"/>
  <c r="D67" i="18"/>
  <c r="D63" i="18"/>
  <c r="D42" i="18"/>
  <c r="D40" i="18"/>
  <c r="D39" i="18"/>
  <c r="D5" i="18"/>
  <c r="D6" i="18"/>
  <c r="D7" i="18"/>
  <c r="S68" i="4"/>
  <c r="S64" i="4"/>
  <c r="S43" i="4"/>
  <c r="S41" i="4"/>
  <c r="S40" i="4"/>
  <c r="S30" i="4"/>
  <c r="S31" i="4"/>
  <c r="S32" i="4"/>
  <c r="S33" i="4"/>
  <c r="S34" i="4"/>
  <c r="S35" i="4"/>
  <c r="S36" i="4"/>
  <c r="S37" i="4"/>
  <c r="S29" i="4"/>
  <c r="S17" i="4"/>
  <c r="E83" i="4"/>
  <c r="E84" i="4"/>
  <c r="E85" i="4"/>
  <c r="E86" i="4"/>
  <c r="E87" i="4"/>
  <c r="E88" i="4"/>
  <c r="E89" i="4"/>
  <c r="E90" i="4"/>
  <c r="E91" i="4"/>
  <c r="E92" i="4"/>
  <c r="E93" i="4"/>
  <c r="E94" i="4"/>
  <c r="E82" i="4"/>
  <c r="E79" i="4"/>
  <c r="E78" i="4"/>
  <c r="E72" i="4"/>
  <c r="E73" i="4"/>
  <c r="E74" i="4"/>
  <c r="E75" i="4"/>
  <c r="E71" i="4"/>
  <c r="E65" i="4"/>
  <c r="E66" i="4"/>
  <c r="E67" i="4"/>
  <c r="E68" i="4"/>
  <c r="E64" i="4"/>
  <c r="E55" i="4"/>
  <c r="E47" i="4"/>
  <c r="E48" i="4"/>
  <c r="E49" i="4"/>
  <c r="E50" i="4"/>
  <c r="E51" i="4"/>
  <c r="E52" i="4"/>
  <c r="E46" i="4"/>
  <c r="E43" i="4"/>
  <c r="E41" i="4"/>
  <c r="E40" i="4"/>
  <c r="E19" i="4"/>
  <c r="E20" i="4"/>
  <c r="E21" i="4"/>
  <c r="E22" i="4"/>
  <c r="E23" i="4"/>
  <c r="E24" i="4"/>
  <c r="E25" i="4"/>
  <c r="E18" i="4"/>
  <c r="F4" i="4"/>
  <c r="Z646" i="3"/>
  <c r="Z644" i="3"/>
  <c r="Z645" i="3"/>
  <c r="Z643" i="3"/>
  <c r="H647" i="3"/>
  <c r="G646" i="3"/>
  <c r="G644" i="3"/>
  <c r="G645" i="3"/>
  <c r="G643" i="3"/>
  <c r="Z638" i="3"/>
  <c r="Z636" i="3"/>
  <c r="Z637" i="3"/>
  <c r="Z635" i="3"/>
  <c r="G638" i="3"/>
  <c r="G636" i="3"/>
  <c r="G637" i="3"/>
  <c r="G635" i="3"/>
  <c r="C619" i="3"/>
  <c r="C618" i="3"/>
  <c r="G580" i="3"/>
  <c r="G579" i="3"/>
  <c r="G578" i="3"/>
  <c r="G577" i="3"/>
  <c r="Z571" i="3"/>
  <c r="AA573" i="3"/>
  <c r="Z569" i="3"/>
  <c r="Z570" i="3"/>
  <c r="AA327" i="3" l="1"/>
  <c r="AA325" i="3"/>
  <c r="AA324" i="3"/>
  <c r="AA323" i="3"/>
  <c r="AA322" i="3"/>
  <c r="AA321" i="3"/>
  <c r="AA299" i="3"/>
  <c r="AA298" i="3"/>
  <c r="H319" i="3"/>
  <c r="H318" i="3"/>
  <c r="H317" i="3"/>
  <c r="H316" i="3"/>
  <c r="H315" i="3"/>
  <c r="H314" i="3"/>
  <c r="H313" i="3"/>
  <c r="V278" i="3"/>
  <c r="M258" i="3" l="1"/>
  <c r="M257" i="3"/>
  <c r="M256" i="3"/>
  <c r="AC255" i="3"/>
  <c r="W255" i="3"/>
  <c r="M255" i="3"/>
  <c r="M254" i="3"/>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8" i="4" s="1"/>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K595" i="3" s="1"/>
  <c r="BI596" i="3"/>
  <c r="BK596" i="3" s="1"/>
  <c r="BI597" i="3"/>
  <c r="BK597" i="3" s="1"/>
  <c r="BI598" i="3"/>
  <c r="BK598" i="3" s="1"/>
  <c r="BI599" i="3"/>
  <c r="BK599" i="3" s="1"/>
  <c r="BI600" i="3"/>
  <c r="BK600" i="3" s="1"/>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I98" i="4" s="1"/>
  <c r="E98" i="4" s="1"/>
  <c r="R98" i="4" s="1"/>
  <c r="H107" i="4"/>
  <c r="G107" i="4"/>
  <c r="G9" i="4" s="1"/>
  <c r="F107" i="4"/>
  <c r="F9" i="4" s="1"/>
  <c r="F11" i="4" s="1"/>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s="1"/>
  <c r="D94" i="15"/>
  <c r="B95" i="15"/>
  <c r="C95" i="15"/>
  <c r="D95" i="15"/>
  <c r="D83" i="15"/>
  <c r="C83" i="15"/>
  <c r="B83" i="15"/>
  <c r="E83" i="15" s="1"/>
  <c r="B80" i="15"/>
  <c r="C80" i="15"/>
  <c r="D80" i="15"/>
  <c r="D79" i="15"/>
  <c r="C79" i="15"/>
  <c r="B79" i="15"/>
  <c r="B73" i="15"/>
  <c r="C73" i="15"/>
  <c r="D73" i="15"/>
  <c r="B74" i="15"/>
  <c r="C74" i="15"/>
  <c r="D74" i="15"/>
  <c r="B75" i="15"/>
  <c r="C75" i="15"/>
  <c r="E75" i="15" s="1"/>
  <c r="D75" i="15"/>
  <c r="B76" i="15"/>
  <c r="C76" i="15"/>
  <c r="E76" i="15" s="1"/>
  <c r="D76" i="15"/>
  <c r="D72" i="15"/>
  <c r="C72" i="15"/>
  <c r="B72" i="15"/>
  <c r="B66" i="15"/>
  <c r="C66" i="15"/>
  <c r="E66" i="15"/>
  <c r="D66" i="15"/>
  <c r="B67" i="15"/>
  <c r="C67" i="15"/>
  <c r="D67" i="15"/>
  <c r="B68" i="15"/>
  <c r="E68" i="15" s="1"/>
  <c r="C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D49" i="15"/>
  <c r="B50" i="15"/>
  <c r="C50" i="15"/>
  <c r="D50" i="15"/>
  <c r="B51" i="15"/>
  <c r="C51" i="15"/>
  <c r="E51" i="15" s="1"/>
  <c r="D51" i="15"/>
  <c r="B52" i="15"/>
  <c r="C52" i="15"/>
  <c r="D52" i="15"/>
  <c r="B53" i="15"/>
  <c r="C53" i="15"/>
  <c r="E53" i="15" s="1"/>
  <c r="D53" i="15"/>
  <c r="D46" i="15"/>
  <c r="C46" i="15"/>
  <c r="B46" i="15"/>
  <c r="B44" i="15"/>
  <c r="C44" i="15"/>
  <c r="E44" i="15" s="1"/>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E21" i="15" s="1"/>
  <c r="C21" i="15"/>
  <c r="D21" i="15"/>
  <c r="B22" i="15"/>
  <c r="C22" i="15"/>
  <c r="D22" i="15"/>
  <c r="B23" i="15"/>
  <c r="C23" i="15"/>
  <c r="D23" i="15"/>
  <c r="B24" i="15"/>
  <c r="C24" i="15"/>
  <c r="E24" i="15" s="1"/>
  <c r="D24" i="15"/>
  <c r="B25" i="15"/>
  <c r="C25" i="15"/>
  <c r="D25" i="15"/>
  <c r="B26" i="15"/>
  <c r="C26" i="15"/>
  <c r="E26" i="15" s="1"/>
  <c r="D26" i="15"/>
  <c r="B28" i="15"/>
  <c r="C28" i="15"/>
  <c r="E28" i="15" s="1"/>
  <c r="D28" i="15"/>
  <c r="B5" i="15"/>
  <c r="B9" i="15" s="1"/>
  <c r="C5" i="15"/>
  <c r="C9" i="15" s="1"/>
  <c r="B6" i="15"/>
  <c r="C6" i="15"/>
  <c r="B7" i="15"/>
  <c r="C7" i="15"/>
  <c r="B8" i="15"/>
  <c r="C8" i="15"/>
  <c r="B10" i="15"/>
  <c r="B12" i="15" s="1"/>
  <c r="C10" i="15"/>
  <c r="C12" i="15" s="1"/>
  <c r="B11" i="15"/>
  <c r="C11" i="15"/>
  <c r="B14" i="15"/>
  <c r="C14" i="15"/>
  <c r="B15" i="15"/>
  <c r="C15" i="15"/>
  <c r="B16" i="15"/>
  <c r="C16" i="15"/>
  <c r="B18" i="15"/>
  <c r="E18" i="15" s="1"/>
  <c r="C18" i="15"/>
  <c r="C28" i="10"/>
  <c r="E80" i="15"/>
  <c r="C5" i="10"/>
  <c r="C6" i="10"/>
  <c r="C7" i="10"/>
  <c r="C8" i="10"/>
  <c r="C9" i="10"/>
  <c r="C10" i="10"/>
  <c r="C11" i="10"/>
  <c r="C12" i="10"/>
  <c r="H12" i="10" s="1"/>
  <c r="I12" i="10" s="1"/>
  <c r="C13" i="10"/>
  <c r="H13" i="10" s="1"/>
  <c r="I13" i="10" s="1"/>
  <c r="C14" i="10"/>
  <c r="H14" i="10" s="1"/>
  <c r="C15" i="10"/>
  <c r="H15" i="10" s="1"/>
  <c r="C16" i="10"/>
  <c r="C17" i="10"/>
  <c r="C18" i="10"/>
  <c r="C19" i="10"/>
  <c r="C20" i="10"/>
  <c r="C21" i="10"/>
  <c r="C22" i="10"/>
  <c r="C23" i="10"/>
  <c r="C24" i="10"/>
  <c r="C25" i="10"/>
  <c r="C26" i="10"/>
  <c r="C27" i="10"/>
  <c r="C4" i="10"/>
  <c r="E34" i="15"/>
  <c r="E101" i="15"/>
  <c r="E69" i="15"/>
  <c r="E22" i="15"/>
  <c r="E67" i="15"/>
  <c r="E33" i="15"/>
  <c r="E58" i="15"/>
  <c r="E16" i="15"/>
  <c r="E7" i="15"/>
  <c r="E31" i="15"/>
  <c r="E61" i="15"/>
  <c r="E57" i="15"/>
  <c r="E14" i="15"/>
  <c r="E8" i="15"/>
  <c r="E42" i="15"/>
  <c r="E72" i="15"/>
  <c r="E6" i="15"/>
  <c r="E41" i="15"/>
  <c r="E11" i="15"/>
  <c r="E35" i="15"/>
  <c r="E65" i="15"/>
  <c r="E36" i="15"/>
  <c r="E30" i="15"/>
  <c r="E15" i="15"/>
  <c r="E37" i="15"/>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705" i="3" s="1"/>
  <c r="H64" i="18"/>
  <c r="H65" i="18"/>
  <c r="H66" i="18"/>
  <c r="E64" i="18"/>
  <c r="E65" i="18"/>
  <c r="E66" i="18"/>
  <c r="B64" i="18"/>
  <c r="B65" i="18"/>
  <c r="B66" i="18"/>
  <c r="B101" i="4"/>
  <c r="R101" i="4"/>
  <c r="R67" i="4"/>
  <c r="R66" i="4"/>
  <c r="R65" i="4"/>
  <c r="B67" i="4"/>
  <c r="B66" i="4"/>
  <c r="B65" i="4"/>
  <c r="B36" i="4"/>
  <c r="R36" i="4"/>
  <c r="R24" i="4"/>
  <c r="S24" i="4" s="1"/>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Q91" i="25"/>
  <c r="Q93" i="25" s="1"/>
  <c r="B15" i="4"/>
  <c r="Q48" i="25"/>
  <c r="D8" i="4"/>
  <c r="D11" i="4"/>
  <c r="D26" i="4"/>
  <c r="D38" i="4"/>
  <c r="D42" i="4"/>
  <c r="D53" i="4"/>
  <c r="D61" i="4"/>
  <c r="D69" i="4"/>
  <c r="D76" i="4"/>
  <c r="D80" i="4"/>
  <c r="D95" i="4"/>
  <c r="D103" i="4"/>
  <c r="C8" i="4"/>
  <c r="B8" i="18" s="1"/>
  <c r="C11" i="4"/>
  <c r="B11" i="18" s="1"/>
  <c r="C26" i="4"/>
  <c r="B26" i="4" s="1"/>
  <c r="C38" i="4"/>
  <c r="C42" i="4"/>
  <c r="B43" i="15" s="1"/>
  <c r="C53" i="4"/>
  <c r="B53" i="4" s="1"/>
  <c r="C61" i="4"/>
  <c r="B61" i="4" s="1"/>
  <c r="C69" i="4"/>
  <c r="C76" i="4"/>
  <c r="B75" i="18" s="1"/>
  <c r="C80" i="4"/>
  <c r="C95" i="4"/>
  <c r="D96" i="15" s="1"/>
  <c r="C103" i="4"/>
  <c r="C104" i="15" s="1"/>
  <c r="C65" i="25"/>
  <c r="C66" i="25"/>
  <c r="Y20" i="5"/>
  <c r="Y22" i="5" s="1"/>
  <c r="AI20" i="5"/>
  <c r="AI22" i="5" s="1"/>
  <c r="S38" i="4"/>
  <c r="E37" i="18" s="1"/>
  <c r="S42" i="4"/>
  <c r="S53" i="4"/>
  <c r="E52" i="18" s="1"/>
  <c r="S69" i="4"/>
  <c r="S103" i="4"/>
  <c r="E102" i="18" s="1"/>
  <c r="F25" i="18"/>
  <c r="F37" i="18"/>
  <c r="F41" i="18"/>
  <c r="F52" i="18"/>
  <c r="F68" i="18"/>
  <c r="F79" i="18"/>
  <c r="F94" i="18"/>
  <c r="F102" i="18"/>
  <c r="T20" i="5"/>
  <c r="T22" i="5" s="1"/>
  <c r="T26" i="4"/>
  <c r="T38" i="4"/>
  <c r="T42" i="4"/>
  <c r="T53" i="4"/>
  <c r="T69" i="4"/>
  <c r="H68" i="18"/>
  <c r="T80" i="4"/>
  <c r="H79" i="18"/>
  <c r="T95" i="4"/>
  <c r="H94" i="18" s="1"/>
  <c r="T103" i="4"/>
  <c r="H102" i="18" s="1"/>
  <c r="I11" i="18"/>
  <c r="I25" i="18"/>
  <c r="I37" i="18"/>
  <c r="I41" i="18"/>
  <c r="I52" i="18"/>
  <c r="I68" i="18"/>
  <c r="I79" i="18"/>
  <c r="I94" i="18"/>
  <c r="I102" i="18"/>
  <c r="U61" i="25"/>
  <c r="U63" i="25"/>
  <c r="U65" i="25"/>
  <c r="U67" i="25"/>
  <c r="R83" i="4"/>
  <c r="S83" i="4" s="1"/>
  <c r="E82" i="18" s="1"/>
  <c r="G82" i="18" s="1"/>
  <c r="M27" i="28"/>
  <c r="M28" i="28"/>
  <c r="M29" i="28"/>
  <c r="AP375" i="6"/>
  <c r="AP374" i="6"/>
  <c r="AP373" i="6"/>
  <c r="AP370" i="6"/>
  <c r="AP368" i="6"/>
  <c r="AP378" i="6" s="1"/>
  <c r="AQ378" i="6" s="1"/>
  <c r="AP366" i="6"/>
  <c r="AP363" i="6"/>
  <c r="AP362" i="6"/>
  <c r="AP361" i="6"/>
  <c r="AP359" i="6"/>
  <c r="AP358" i="6"/>
  <c r="AP356" i="6"/>
  <c r="AP355" i="6"/>
  <c r="AP353" i="6"/>
  <c r="AP351" i="6"/>
  <c r="BD522" i="6"/>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D79" i="18"/>
  <c r="C79" i="18"/>
  <c r="R71" i="4"/>
  <c r="R72" i="4"/>
  <c r="R73" i="4"/>
  <c r="R74" i="4"/>
  <c r="R75" i="4"/>
  <c r="E80" i="4"/>
  <c r="F80" i="4"/>
  <c r="G80" i="4"/>
  <c r="H80" i="4"/>
  <c r="B79" i="18"/>
  <c r="G76" i="4"/>
  <c r="F76" i="4"/>
  <c r="E76" i="4"/>
  <c r="B78" i="18"/>
  <c r="D78" i="18" s="1"/>
  <c r="H78" i="18"/>
  <c r="B79" i="4"/>
  <c r="B78" i="4"/>
  <c r="R79" i="4"/>
  <c r="S79" i="4" s="1"/>
  <c r="E78" i="18" s="1"/>
  <c r="G78" i="18" s="1"/>
  <c r="R78" i="4"/>
  <c r="S78" i="4" s="1"/>
  <c r="S80" i="4" s="1"/>
  <c r="E79" i="18" s="1"/>
  <c r="R80" i="4"/>
  <c r="B102" i="4"/>
  <c r="G37" i="18"/>
  <c r="G41" i="18"/>
  <c r="G68" i="18"/>
  <c r="A5" i="10"/>
  <c r="B5" i="10"/>
  <c r="F5" i="10" s="1"/>
  <c r="A6" i="10"/>
  <c r="B6" i="10"/>
  <c r="F6" i="10" s="1"/>
  <c r="A7" i="10"/>
  <c r="B7" i="10"/>
  <c r="F7" i="10" s="1"/>
  <c r="A8" i="10"/>
  <c r="B8" i="10"/>
  <c r="F8" i="10" s="1"/>
  <c r="A9" i="10"/>
  <c r="B9" i="10"/>
  <c r="F9" i="10" s="1"/>
  <c r="A10" i="10"/>
  <c r="B10" i="10"/>
  <c r="F10" i="10" s="1"/>
  <c r="A11" i="10"/>
  <c r="B11" i="10"/>
  <c r="F11" i="10" s="1"/>
  <c r="A12" i="10"/>
  <c r="F12" i="10"/>
  <c r="A13" i="10"/>
  <c r="F13" i="10"/>
  <c r="A14" i="10"/>
  <c r="F14" i="10"/>
  <c r="A15" i="10"/>
  <c r="F15" i="10"/>
  <c r="A16" i="10"/>
  <c r="F16" i="10"/>
  <c r="A17" i="10"/>
  <c r="F17" i="10"/>
  <c r="A18" i="10"/>
  <c r="F18" i="10"/>
  <c r="A19" i="10"/>
  <c r="F19" i="10"/>
  <c r="A20" i="10"/>
  <c r="F20" i="10"/>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D9" i="18" s="1"/>
  <c r="D11" i="18" s="1"/>
  <c r="B10" i="18"/>
  <c r="B13" i="18"/>
  <c r="B14" i="18"/>
  <c r="B15" i="18"/>
  <c r="H104" i="18"/>
  <c r="H101" i="18"/>
  <c r="H100" i="18"/>
  <c r="H99" i="18"/>
  <c r="H98" i="18"/>
  <c r="H97" i="18"/>
  <c r="J97" i="18" s="1"/>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7" i="18"/>
  <c r="G97" i="18" s="1"/>
  <c r="G102" i="18" s="1"/>
  <c r="E89" i="18"/>
  <c r="E77" i="18"/>
  <c r="G77" i="18" s="1"/>
  <c r="E67" i="18"/>
  <c r="E63" i="18"/>
  <c r="E51" i="18"/>
  <c r="G51" i="18" s="1"/>
  <c r="E50" i="18"/>
  <c r="E49" i="18"/>
  <c r="E48" i="18"/>
  <c r="E47" i="18"/>
  <c r="E46" i="18"/>
  <c r="E45" i="18"/>
  <c r="E44" i="18"/>
  <c r="G44" i="18" s="1"/>
  <c r="G52" i="18" s="1"/>
  <c r="E42" i="18"/>
  <c r="E40" i="18"/>
  <c r="E39" i="18"/>
  <c r="E36" i="18"/>
  <c r="E34" i="18"/>
  <c r="E33" i="18"/>
  <c r="E32" i="18"/>
  <c r="E31" i="18"/>
  <c r="E30" i="18"/>
  <c r="E29" i="18"/>
  <c r="E28" i="18"/>
  <c r="E26" i="18"/>
  <c r="E17" i="18"/>
  <c r="E14" i="18"/>
  <c r="E15" i="18"/>
  <c r="E13" i="18"/>
  <c r="E10" i="18"/>
  <c r="B101" i="18"/>
  <c r="B100" i="18"/>
  <c r="B99" i="18"/>
  <c r="B98" i="18"/>
  <c r="B97" i="18"/>
  <c r="B93" i="18"/>
  <c r="D93" i="18" s="1"/>
  <c r="B92" i="18"/>
  <c r="D92" i="18" s="1"/>
  <c r="B91" i="18"/>
  <c r="D91" i="18" s="1"/>
  <c r="B90" i="18"/>
  <c r="D90" i="18" s="1"/>
  <c r="B89" i="18"/>
  <c r="D89" i="18" s="1"/>
  <c r="B88" i="18"/>
  <c r="D88" i="18" s="1"/>
  <c r="B87" i="18"/>
  <c r="D87" i="18" s="1"/>
  <c r="B86" i="18"/>
  <c r="D86" i="18" s="1"/>
  <c r="B85" i="18"/>
  <c r="D85" i="18" s="1"/>
  <c r="B84" i="18"/>
  <c r="D84" i="18" s="1"/>
  <c r="B83" i="18"/>
  <c r="D83" i="18" s="1"/>
  <c r="B82" i="18"/>
  <c r="D82" i="18" s="1"/>
  <c r="B81" i="18"/>
  <c r="D81" i="18" s="1"/>
  <c r="B77" i="18"/>
  <c r="D77" i="18" s="1"/>
  <c r="B74" i="18"/>
  <c r="D74" i="18" s="1"/>
  <c r="B73" i="18"/>
  <c r="D73" i="18" s="1"/>
  <c r="B72" i="18"/>
  <c r="D72" i="18" s="1"/>
  <c r="B71" i="18"/>
  <c r="D71" i="18" s="1"/>
  <c r="B70" i="18"/>
  <c r="D70" i="18" s="1"/>
  <c r="B67" i="18"/>
  <c r="B63" i="18"/>
  <c r="B59" i="18"/>
  <c r="B58" i="18"/>
  <c r="B57" i="18"/>
  <c r="B56" i="18"/>
  <c r="B55" i="18"/>
  <c r="B54" i="18"/>
  <c r="D54" i="18" s="1"/>
  <c r="D60" i="18" s="1"/>
  <c r="B51" i="18"/>
  <c r="D51" i="18" s="1"/>
  <c r="B50" i="18"/>
  <c r="D50" i="18" s="1"/>
  <c r="B49" i="18"/>
  <c r="D49" i="18" s="1"/>
  <c r="B48" i="18"/>
  <c r="D48" i="18" s="1"/>
  <c r="B47" i="18"/>
  <c r="D47" i="18" s="1"/>
  <c r="B46" i="18"/>
  <c r="D46" i="18" s="1"/>
  <c r="B45" i="18"/>
  <c r="D45" i="18" s="1"/>
  <c r="B44" i="18"/>
  <c r="D44" i="18" s="1"/>
  <c r="B42" i="18"/>
  <c r="B40" i="18"/>
  <c r="B39" i="18"/>
  <c r="B36" i="18"/>
  <c r="B34" i="18"/>
  <c r="B33" i="18"/>
  <c r="B32" i="18"/>
  <c r="B31" i="18"/>
  <c r="B30" i="18"/>
  <c r="B29" i="18"/>
  <c r="B28" i="18"/>
  <c r="B26" i="18"/>
  <c r="B24" i="18"/>
  <c r="D24" i="18" s="1"/>
  <c r="B23" i="18"/>
  <c r="D23" i="18" s="1"/>
  <c r="B22" i="18"/>
  <c r="D22" i="18" s="1"/>
  <c r="B21" i="18"/>
  <c r="D21" i="18" s="1"/>
  <c r="B20" i="18"/>
  <c r="D20" i="18" s="1"/>
  <c r="B19" i="18"/>
  <c r="D19" i="18" s="1"/>
  <c r="B18" i="18"/>
  <c r="D18" i="18" s="1"/>
  <c r="B17" i="18"/>
  <c r="D17" i="18" s="1"/>
  <c r="B4" i="18"/>
  <c r="D4" i="18" s="1"/>
  <c r="D102" i="18"/>
  <c r="C102" i="18"/>
  <c r="C94" i="18"/>
  <c r="C75" i="18"/>
  <c r="D68" i="18"/>
  <c r="C68" i="18"/>
  <c r="C60" i="18"/>
  <c r="C52" i="18"/>
  <c r="D41" i="18"/>
  <c r="C41" i="18"/>
  <c r="D37" i="18"/>
  <c r="C37" i="18"/>
  <c r="C25"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G93" i="18" s="1"/>
  <c r="R82" i="4"/>
  <c r="R84" i="4"/>
  <c r="S84" i="4" s="1"/>
  <c r="E83" i="18" s="1"/>
  <c r="G83" i="18" s="1"/>
  <c r="R85" i="4"/>
  <c r="S85" i="4" s="1"/>
  <c r="E84" i="18" s="1"/>
  <c r="G84" i="18" s="1"/>
  <c r="R86" i="4"/>
  <c r="S86" i="4" s="1"/>
  <c r="E85" i="18" s="1"/>
  <c r="G85" i="18" s="1"/>
  <c r="R87" i="4"/>
  <c r="R88" i="4"/>
  <c r="S88" i="4" s="1"/>
  <c r="E87" i="18" s="1"/>
  <c r="G87" i="18" s="1"/>
  <c r="R89" i="4"/>
  <c r="S89" i="4" s="1"/>
  <c r="E88" i="18" s="1"/>
  <c r="G88" i="18" s="1"/>
  <c r="R90" i="4"/>
  <c r="R91" i="4"/>
  <c r="S91" i="4" s="1"/>
  <c r="E90" i="18" s="1"/>
  <c r="G90" i="18" s="1"/>
  <c r="R92" i="4"/>
  <c r="S92" i="4" s="1"/>
  <c r="E91" i="18" s="1"/>
  <c r="G91" i="18" s="1"/>
  <c r="R93" i="4"/>
  <c r="S93" i="4" s="1"/>
  <c r="E92" i="18" s="1"/>
  <c r="G92" i="18" s="1"/>
  <c r="R60" i="4"/>
  <c r="R59" i="4"/>
  <c r="R58" i="4"/>
  <c r="R57" i="4"/>
  <c r="R56" i="4"/>
  <c r="R52" i="4"/>
  <c r="R51" i="4"/>
  <c r="R50" i="4"/>
  <c r="R49" i="4"/>
  <c r="R48" i="4"/>
  <c r="R47" i="4"/>
  <c r="R46" i="4"/>
  <c r="R43" i="4"/>
  <c r="R41" i="4"/>
  <c r="R40" i="4"/>
  <c r="R42" i="4" s="1"/>
  <c r="R37" i="4"/>
  <c r="R35" i="4"/>
  <c r="R34" i="4"/>
  <c r="R33" i="4"/>
  <c r="R32" i="4"/>
  <c r="R30" i="4"/>
  <c r="R31" i="4"/>
  <c r="R29" i="4"/>
  <c r="R25" i="4"/>
  <c r="S25" i="4" s="1"/>
  <c r="E24" i="18" s="1"/>
  <c r="G24" i="18" s="1"/>
  <c r="R23" i="4"/>
  <c r="S23" i="4" s="1"/>
  <c r="E23" i="18" s="1"/>
  <c r="G23" i="18" s="1"/>
  <c r="R22" i="4"/>
  <c r="S22" i="4" s="1"/>
  <c r="E22" i="18" s="1"/>
  <c r="G22" i="18" s="1"/>
  <c r="R21" i="4"/>
  <c r="S21" i="4" s="1"/>
  <c r="E21" i="18" s="1"/>
  <c r="G21" i="18" s="1"/>
  <c r="R20" i="4"/>
  <c r="S20" i="4" s="1"/>
  <c r="E20" i="18" s="1"/>
  <c r="G20" i="18" s="1"/>
  <c r="R19" i="4"/>
  <c r="S19" i="4" s="1"/>
  <c r="E19" i="18" s="1"/>
  <c r="G19" i="18" s="1"/>
  <c r="R18" i="4"/>
  <c r="R17" i="4"/>
  <c r="R15" i="4"/>
  <c r="R14" i="4"/>
  <c r="R13" i="4"/>
  <c r="R7" i="4"/>
  <c r="R6" i="4"/>
  <c r="D5" i="15"/>
  <c r="D6" i="15"/>
  <c r="D7" i="15"/>
  <c r="D8" i="15"/>
  <c r="D10" i="15"/>
  <c r="D11" i="15"/>
  <c r="D14" i="15"/>
  <c r="D15" i="15"/>
  <c r="D16" i="15"/>
  <c r="D18" i="15"/>
  <c r="E41" i="18"/>
  <c r="E68" i="18"/>
  <c r="H25" i="18"/>
  <c r="H37" i="18"/>
  <c r="H52" i="18"/>
  <c r="B37" i="18"/>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F8" i="4"/>
  <c r="G8" i="4"/>
  <c r="H8" i="4"/>
  <c r="H11" i="4"/>
  <c r="L12" i="4"/>
  <c r="B9" i="4"/>
  <c r="B10"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53" i="4"/>
  <c r="F61" i="4"/>
  <c r="F95" i="4"/>
  <c r="F69" i="4"/>
  <c r="F103" i="4"/>
  <c r="G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J103" i="4"/>
  <c r="K103" i="4"/>
  <c r="L103" i="4"/>
  <c r="N103" i="4"/>
  <c r="N104" i="4" s="1"/>
  <c r="P103" i="4"/>
  <c r="B131" i="4"/>
  <c r="I184" i="3"/>
  <c r="W411" i="3"/>
  <c r="AF411" i="3" s="1"/>
  <c r="G560" i="3"/>
  <c r="Z560" i="3"/>
  <c r="G568" i="3"/>
  <c r="Z568" i="3"/>
  <c r="G576" i="3"/>
  <c r="Z576" i="3"/>
  <c r="AA581" i="3" s="1"/>
  <c r="G584" i="3"/>
  <c r="Z584" i="3"/>
  <c r="BG590" i="3"/>
  <c r="BK590" i="3"/>
  <c r="BG591" i="3"/>
  <c r="BK591" i="3"/>
  <c r="G592" i="3"/>
  <c r="Z592" i="3"/>
  <c r="G600" i="3"/>
  <c r="Z600" i="3"/>
  <c r="BK601"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BA681" i="3"/>
  <c r="BA682" i="3"/>
  <c r="BA683" i="3"/>
  <c r="BA684" i="3"/>
  <c r="BA685" i="3"/>
  <c r="BA686" i="3"/>
  <c r="BA687" i="3"/>
  <c r="BA688" i="3"/>
  <c r="BA689" i="3"/>
  <c r="AM706" i="3" s="1"/>
  <c r="BA690" i="3"/>
  <c r="BA691" i="3"/>
  <c r="BA692" i="3"/>
  <c r="BA693" i="3"/>
  <c r="BA694" i="3"/>
  <c r="BA695" i="3"/>
  <c r="BA696" i="3"/>
  <c r="BA697" i="3"/>
  <c r="BA698" i="3"/>
  <c r="BA699" i="3"/>
  <c r="M796" i="3"/>
  <c r="Q796" i="3"/>
  <c r="U796" i="3"/>
  <c r="Y796" i="3"/>
  <c r="AC796" i="3"/>
  <c r="Z865" i="3"/>
  <c r="Q12" i="4"/>
  <c r="H41" i="18"/>
  <c r="N12" i="4"/>
  <c r="B80" i="4"/>
  <c r="D12" i="4"/>
  <c r="C39" i="15"/>
  <c r="E39" i="15" s="1"/>
  <c r="D39" i="15"/>
  <c r="B39" i="15"/>
  <c r="C81" i="15"/>
  <c r="B81" i="15"/>
  <c r="E81" i="15" s="1"/>
  <c r="D81" i="15"/>
  <c r="B68" i="18"/>
  <c r="B70" i="15"/>
  <c r="C70" i="15"/>
  <c r="D70" i="15"/>
  <c r="C62" i="15"/>
  <c r="G52" i="25"/>
  <c r="AM695" i="3"/>
  <c r="AM704" i="3"/>
  <c r="AM694" i="3"/>
  <c r="AM697" i="3"/>
  <c r="AB47" i="26"/>
  <c r="I61" i="18"/>
  <c r="I95" i="18"/>
  <c r="I103" i="18"/>
  <c r="I105" i="18"/>
  <c r="K12" i="4"/>
  <c r="J12" i="4"/>
  <c r="D12" i="15"/>
  <c r="D9" i="15"/>
  <c r="D13" i="15" s="1"/>
  <c r="C61" i="18"/>
  <c r="C95" i="18"/>
  <c r="C103" i="18"/>
  <c r="C12" i="18"/>
  <c r="M62" i="4"/>
  <c r="M96" i="4"/>
  <c r="M104" i="4"/>
  <c r="J62" i="4"/>
  <c r="J96" i="4"/>
  <c r="J104" i="4"/>
  <c r="O62" i="4"/>
  <c r="O96" i="4"/>
  <c r="O104" i="4"/>
  <c r="N62" i="4"/>
  <c r="N96" i="4"/>
  <c r="D62" i="4"/>
  <c r="D96" i="4"/>
  <c r="D104" i="4"/>
  <c r="L62" i="4"/>
  <c r="L96" i="4"/>
  <c r="L104" i="4"/>
  <c r="H12" i="4"/>
  <c r="Q62" i="4"/>
  <c r="Q96" i="4"/>
  <c r="Q104" i="4"/>
  <c r="K62" i="4"/>
  <c r="K96" i="4"/>
  <c r="K104" i="4"/>
  <c r="I62" i="4"/>
  <c r="I96" i="4"/>
  <c r="R38" i="4"/>
  <c r="M12" i="4"/>
  <c r="P62" i="4"/>
  <c r="P96" i="4"/>
  <c r="P104" i="4"/>
  <c r="B69" i="4"/>
  <c r="B38" i="4"/>
  <c r="F61" i="18"/>
  <c r="F95" i="18"/>
  <c r="F103" i="18"/>
  <c r="F105" i="18"/>
  <c r="S28" i="9"/>
  <c r="AC28" i="9"/>
  <c r="G19" i="9"/>
  <c r="I19" i="9" s="1"/>
  <c r="K19" i="9" s="1"/>
  <c r="M19" i="9" s="1"/>
  <c r="O19" i="9" s="1"/>
  <c r="Q19" i="9" s="1"/>
  <c r="S19" i="9" s="1"/>
  <c r="U19" i="9" s="1"/>
  <c r="W19" i="9" s="1"/>
  <c r="Y19" i="9" s="1"/>
  <c r="AA19" i="9" s="1"/>
  <c r="AC19" i="9" s="1"/>
  <c r="AE19" i="9" s="1"/>
  <c r="AG19" i="9" s="1"/>
  <c r="T7" i="5"/>
  <c r="E70" i="15"/>
  <c r="T24" i="27"/>
  <c r="T24" i="26"/>
  <c r="O29" i="9"/>
  <c r="Q580" i="6"/>
  <c r="W580" i="6" s="1"/>
  <c r="D75" i="18" l="1"/>
  <c r="R76" i="4"/>
  <c r="E74" i="15"/>
  <c r="B8" i="4"/>
  <c r="G11" i="4"/>
  <c r="G12" i="4" s="1"/>
  <c r="E9" i="4"/>
  <c r="D77" i="15"/>
  <c r="C77" i="15"/>
  <c r="E77" i="15" s="1"/>
  <c r="B77" i="15"/>
  <c r="B76" i="4"/>
  <c r="E56" i="15"/>
  <c r="G108" i="25"/>
  <c r="D110" i="25" s="1"/>
  <c r="D112" i="25" s="1"/>
  <c r="D114" i="25" s="1"/>
  <c r="G62" i="4"/>
  <c r="G96" i="4" s="1"/>
  <c r="G104" i="4" s="1"/>
  <c r="R103" i="4"/>
  <c r="E27" i="4"/>
  <c r="R27" i="4" s="1"/>
  <c r="H45" i="4"/>
  <c r="E73" i="15"/>
  <c r="E46" i="15"/>
  <c r="E5" i="15"/>
  <c r="F12" i="4"/>
  <c r="C12" i="4"/>
  <c r="B12" i="18" s="1"/>
  <c r="E9" i="15"/>
  <c r="R11" i="4"/>
  <c r="R12" i="4" s="1"/>
  <c r="T9" i="4"/>
  <c r="B11" i="4"/>
  <c r="B12" i="4" s="1"/>
  <c r="E11" i="4"/>
  <c r="E12" i="4" s="1"/>
  <c r="F62" i="4"/>
  <c r="F96" i="4" s="1"/>
  <c r="F104" i="4" s="1"/>
  <c r="E93" i="15"/>
  <c r="E85" i="15"/>
  <c r="E89" i="15"/>
  <c r="E84" i="15"/>
  <c r="B52" i="18"/>
  <c r="I103" i="4"/>
  <c r="I104" i="4" s="1"/>
  <c r="D25" i="18"/>
  <c r="E19" i="15"/>
  <c r="B25" i="18"/>
  <c r="E25" i="15"/>
  <c r="D52" i="18"/>
  <c r="D61" i="18" s="1"/>
  <c r="E52" i="15"/>
  <c r="E48" i="15"/>
  <c r="B95" i="4"/>
  <c r="E95" i="15"/>
  <c r="B94" i="18"/>
  <c r="D94" i="18"/>
  <c r="U69" i="25"/>
  <c r="R26" i="4"/>
  <c r="S18" i="4"/>
  <c r="E23" i="15"/>
  <c r="E50" i="15"/>
  <c r="B62" i="15"/>
  <c r="E62" i="15" s="1"/>
  <c r="D62" i="15"/>
  <c r="B60" i="18"/>
  <c r="G79" i="18"/>
  <c r="E79" i="15"/>
  <c r="G94" i="18"/>
  <c r="S95" i="4"/>
  <c r="E94" i="18" s="1"/>
  <c r="E91" i="15"/>
  <c r="E87" i="15"/>
  <c r="AO651" i="6"/>
  <c r="AK684" i="6" s="1"/>
  <c r="T706" i="6" s="1"/>
  <c r="AM703" i="3"/>
  <c r="AM702" i="3"/>
  <c r="I15" i="10"/>
  <c r="I14" i="10"/>
  <c r="D12" i="18"/>
  <c r="C96" i="15"/>
  <c r="B96" i="15"/>
  <c r="R95" i="4"/>
  <c r="E49" i="15"/>
  <c r="D54" i="15"/>
  <c r="C54" i="15"/>
  <c r="B54" i="15"/>
  <c r="B41" i="18"/>
  <c r="C62" i="4"/>
  <c r="C96" i="4" s="1"/>
  <c r="B95" i="18" s="1"/>
  <c r="C27" i="15"/>
  <c r="D43" i="15"/>
  <c r="B42" i="4"/>
  <c r="D27" i="15"/>
  <c r="B27" i="15"/>
  <c r="E27" i="15" s="1"/>
  <c r="C43" i="15"/>
  <c r="E43" i="15" s="1"/>
  <c r="B13" i="15"/>
  <c r="C13" i="15"/>
  <c r="E13" i="15" s="1"/>
  <c r="E12" i="15"/>
  <c r="E10" i="15"/>
  <c r="AM692" i="3"/>
  <c r="AM698" i="3"/>
  <c r="AM700" i="3"/>
  <c r="AM701" i="3"/>
  <c r="AM699" i="3"/>
  <c r="AO632" i="3"/>
  <c r="AM551" i="3" s="1"/>
  <c r="AM558" i="3" s="1"/>
  <c r="R935" i="3"/>
  <c r="AC847" i="3"/>
  <c r="AC850" i="3" s="1"/>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BH710" i="3"/>
  <c r="BI710"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D120" i="25" l="1"/>
  <c r="G38" i="25" s="1"/>
  <c r="G53" i="25" s="1"/>
  <c r="H53" i="4"/>
  <c r="H62" i="4" s="1"/>
  <c r="H96" i="4" s="1"/>
  <c r="H104" i="4" s="1"/>
  <c r="T11" i="4"/>
  <c r="H9" i="18"/>
  <c r="J9" i="18" s="1"/>
  <c r="J11" i="18" s="1"/>
  <c r="J61" i="18" s="1"/>
  <c r="J95" i="18" s="1"/>
  <c r="J103" i="18" s="1"/>
  <c r="J105" i="18" s="1"/>
  <c r="AS354" i="6"/>
  <c r="AK471" i="6" s="1"/>
  <c r="T700" i="6" s="1"/>
  <c r="D95" i="18"/>
  <c r="D103" i="18" s="1"/>
  <c r="B96" i="4"/>
  <c r="S26" i="4"/>
  <c r="E18" i="18"/>
  <c r="G18" i="18" s="1"/>
  <c r="G25" i="18" s="1"/>
  <c r="G61" i="18" s="1"/>
  <c r="G95" i="18" s="1"/>
  <c r="G103" i="18" s="1"/>
  <c r="G105" i="18" s="1"/>
  <c r="BH726" i="3"/>
  <c r="BI726" i="3" s="1"/>
  <c r="CH638" i="3"/>
  <c r="O605" i="6"/>
  <c r="AU569" i="6" s="1"/>
  <c r="Y764" i="3"/>
  <c r="Y765" i="3"/>
  <c r="E4" i="9" s="1"/>
  <c r="E5" i="9" s="1"/>
  <c r="B97" i="15"/>
  <c r="C97" i="15"/>
  <c r="E96" i="15"/>
  <c r="D63" i="15"/>
  <c r="E54" i="15"/>
  <c r="C104" i="4"/>
  <c r="AC448" i="3" s="1"/>
  <c r="B63" i="15"/>
  <c r="C63" i="15"/>
  <c r="D97" i="15"/>
  <c r="B61" i="18"/>
  <c r="B62" i="4"/>
  <c r="BH707" i="3"/>
  <c r="BH683" i="3"/>
  <c r="BI683" i="3" s="1"/>
  <c r="BH730" i="3"/>
  <c r="BI730" i="3" s="1"/>
  <c r="BH695" i="3"/>
  <c r="BI695" i="3" s="1"/>
  <c r="Y606" i="6"/>
  <c r="BE570" i="6" s="1"/>
  <c r="AP580" i="6" s="1"/>
  <c r="BH692" i="3"/>
  <c r="BI692" i="3" s="1"/>
  <c r="BH688" i="3"/>
  <c r="BI688" i="3" s="1"/>
  <c r="BH680" i="3"/>
  <c r="BI680" i="3" s="1"/>
  <c r="L29" i="28"/>
  <c r="V29" i="28" s="1"/>
  <c r="BH715" i="3"/>
  <c r="BI715" i="3" s="1"/>
  <c r="CM638" i="3"/>
  <c r="AB937" i="3" s="1"/>
  <c r="AJ937" i="3" s="1"/>
  <c r="BH697" i="3"/>
  <c r="BI697" i="3" s="1"/>
  <c r="BH691" i="3"/>
  <c r="BI691" i="3" s="1"/>
  <c r="L30" i="28"/>
  <c r="V30" i="28" s="1"/>
  <c r="BH696" i="3"/>
  <c r="BI696" i="3" s="1"/>
  <c r="BH700" i="3"/>
  <c r="BI700" i="3" s="1"/>
  <c r="CG614" i="3"/>
  <c r="L28" i="28"/>
  <c r="V28" i="28" s="1"/>
  <c r="BH676" i="3"/>
  <c r="BI676" i="3" s="1"/>
  <c r="BH681" i="3"/>
  <c r="BI681" i="3" s="1"/>
  <c r="BH709" i="3"/>
  <c r="BI709" i="3" s="1"/>
  <c r="BH699" i="3"/>
  <c r="BI699" i="3" s="1"/>
  <c r="BH684" i="3"/>
  <c r="BI684" i="3" s="1"/>
  <c r="BH678" i="3"/>
  <c r="BI678" i="3" s="1"/>
  <c r="BH690" i="3"/>
  <c r="BI690" i="3" s="1"/>
  <c r="BH712" i="3"/>
  <c r="BI712" i="3" s="1"/>
  <c r="BH682" i="3"/>
  <c r="BI682" i="3" s="1"/>
  <c r="BH685" i="3"/>
  <c r="BI685" i="3" s="1"/>
  <c r="CB614" i="3"/>
  <c r="BH687" i="3"/>
  <c r="BI687" i="3" s="1"/>
  <c r="BH693" i="3"/>
  <c r="BI693"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G4" i="9"/>
  <c r="I4" i="9" s="1"/>
  <c r="I5" i="9" s="1"/>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R45" i="4" l="1"/>
  <c r="R53" i="4" s="1"/>
  <c r="R62" i="4" s="1"/>
  <c r="R96" i="4" s="1"/>
  <c r="R104" i="4" s="1"/>
  <c r="E53" i="4"/>
  <c r="E62" i="4" s="1"/>
  <c r="E96" i="4" s="1"/>
  <c r="E104" i="4" s="1"/>
  <c r="H11" i="18"/>
  <c r="T62" i="4"/>
  <c r="S62" i="4"/>
  <c r="E25" i="18"/>
  <c r="E63" i="15"/>
  <c r="E97" i="15"/>
  <c r="B103" i="18"/>
  <c r="B104" i="4"/>
  <c r="AB46" i="5" s="1"/>
  <c r="AB48" i="5" s="1"/>
  <c r="AB53" i="5" s="1"/>
  <c r="AB54" i="5" s="1"/>
  <c r="B105" i="15"/>
  <c r="Z782" i="3"/>
  <c r="Y609" i="6"/>
  <c r="CH547" i="6" s="1"/>
  <c r="BS524" i="6"/>
  <c r="BS528" i="6" s="1"/>
  <c r="BQ529" i="6" s="1"/>
  <c r="CH544" i="6"/>
  <c r="D105" i="15"/>
  <c r="C105" i="15"/>
  <c r="BI701" i="3"/>
  <c r="AH717" i="3" s="1"/>
  <c r="BH732" i="3"/>
  <c r="BI732" i="3"/>
  <c r="AM717" i="3" s="1"/>
  <c r="BH701" i="3"/>
  <c r="Y26" i="5"/>
  <c r="Y28" i="5" s="1"/>
  <c r="AO691" i="6"/>
  <c r="G5" i="9"/>
  <c r="K4" i="9"/>
  <c r="M4" i="9" s="1"/>
  <c r="O4" i="9" s="1"/>
  <c r="AC589" i="6"/>
  <c r="CE527" i="6"/>
  <c r="CE528" i="6" s="1"/>
  <c r="CC529" i="6" s="1"/>
  <c r="CQ615" i="3"/>
  <c r="P414" i="3" s="1"/>
  <c r="BE573" i="6"/>
  <c r="AP583" i="6" s="1"/>
  <c r="CH545" i="6"/>
  <c r="BW525" i="6"/>
  <c r="BW528" i="6" s="1"/>
  <c r="BU529" i="6" s="1"/>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BF582" i="6"/>
  <c r="BF585" i="6" s="1"/>
  <c r="BL580" i="6"/>
  <c r="BL581" i="6"/>
  <c r="BP581" i="6"/>
  <c r="BL582" i="6"/>
  <c r="AF694" i="6"/>
  <c r="E7" i="9"/>
  <c r="E11" i="9" s="1"/>
  <c r="E37" i="9" s="1"/>
  <c r="E45" i="9" s="1"/>
  <c r="E48" i="9" s="1"/>
  <c r="G6" i="9"/>
  <c r="M16" i="9"/>
  <c r="K22" i="9"/>
  <c r="K35" i="9" s="1"/>
  <c r="U15" i="9"/>
  <c r="O32" i="9"/>
  <c r="I9" i="9"/>
  <c r="K8" i="9"/>
  <c r="T96" i="4" l="1"/>
  <c r="H61" i="18"/>
  <c r="AO689" i="6"/>
  <c r="T698" i="6" s="1"/>
  <c r="AF698" i="6" s="1"/>
  <c r="S96" i="4"/>
  <c r="E61" i="18"/>
  <c r="J58" i="25"/>
  <c r="G71" i="25" s="1"/>
  <c r="G72" i="25" s="1"/>
  <c r="B75" i="25" s="1"/>
  <c r="E105" i="15"/>
  <c r="AB46" i="26"/>
  <c r="AB48" i="26" s="1"/>
  <c r="AB53" i="26" s="1"/>
  <c r="AB54" i="26" s="1"/>
  <c r="AC447" i="3"/>
  <c r="AB46" i="27"/>
  <c r="AB48" i="27" s="1"/>
  <c r="AB53" i="27" s="1"/>
  <c r="AB54" i="27" s="1"/>
  <c r="AU530" i="6"/>
  <c r="O720" i="3"/>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G11" i="9" s="1"/>
  <c r="G37" i="9" s="1"/>
  <c r="BI547" i="6"/>
  <c r="BM544" i="6"/>
  <c r="W15" i="9"/>
  <c r="Q32" i="9"/>
  <c r="M8" i="9"/>
  <c r="K9" i="9"/>
  <c r="T104" i="4" l="1"/>
  <c r="H95" i="18"/>
  <c r="B76" i="25"/>
  <c r="O76" i="25" s="1"/>
  <c r="S104" i="4"/>
  <c r="E95" i="18"/>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H103" i="18" l="1"/>
  <c r="T106" i="4"/>
  <c r="H105" i="18" s="1"/>
  <c r="E103" i="18"/>
  <c r="S106" i="4"/>
  <c r="CG534" i="6"/>
  <c r="CD572" i="6"/>
  <c r="BY574" i="6"/>
  <c r="BQ547" i="6"/>
  <c r="BU546" i="6"/>
  <c r="BU547" i="6" s="1"/>
  <c r="S16" i="9"/>
  <c r="Q22" i="9"/>
  <c r="Q35" i="9" s="1"/>
  <c r="AA15" i="9"/>
  <c r="G47" i="9"/>
  <c r="G60" i="9"/>
  <c r="G48" i="9"/>
  <c r="I49" i="9"/>
  <c r="C49" i="9" s="1"/>
  <c r="I45" i="9"/>
  <c r="U4" i="9"/>
  <c r="S5" i="9"/>
  <c r="K7" i="9"/>
  <c r="K11" i="9" s="1"/>
  <c r="M6" i="9"/>
  <c r="U32" i="9"/>
  <c r="Q8" i="9"/>
  <c r="O9" i="9"/>
  <c r="AD11" i="5" l="1"/>
  <c r="AD23" i="5" s="1"/>
  <c r="AD26" i="5" s="1"/>
  <c r="AD28" i="5" s="1"/>
  <c r="AD63" i="5" s="1"/>
  <c r="AD67"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E105" i="18"/>
  <c r="X992" i="3"/>
  <c r="X993" i="3" s="1"/>
  <c r="D994" i="3" s="1"/>
  <c r="AC449" i="3"/>
  <c r="CD574" i="6"/>
  <c r="CI573" i="6"/>
  <c r="CI574" i="6" s="1"/>
  <c r="CC547" i="6"/>
  <c r="K37" i="9"/>
  <c r="K49" i="9" s="1"/>
  <c r="U16" i="9"/>
  <c r="S22" i="9"/>
  <c r="S35" i="9" s="1"/>
  <c r="W4" i="9"/>
  <c r="U5" i="9"/>
  <c r="AC15" i="9"/>
  <c r="I47" i="9"/>
  <c r="C47" i="9" s="1"/>
  <c r="I48" i="9"/>
  <c r="C48" i="9" s="1"/>
  <c r="I60" i="9"/>
  <c r="G67" i="9"/>
  <c r="G66" i="9"/>
  <c r="G62" i="9"/>
  <c r="G69" i="9"/>
  <c r="G68" i="9"/>
  <c r="O6" i="9"/>
  <c r="M7" i="9"/>
  <c r="M11" i="9" s="1"/>
  <c r="M37" i="9" s="1"/>
  <c r="W32" i="9"/>
  <c r="S8" i="9"/>
  <c r="Q9" i="9"/>
  <c r="T11" i="5" l="1"/>
  <c r="Y11" i="27"/>
  <c r="Y23" i="27" s="1"/>
  <c r="Y26" i="27" s="1"/>
  <c r="Y28" i="27" s="1"/>
  <c r="Y63" i="27" s="1"/>
  <c r="Y67" i="27" s="1"/>
  <c r="T11" i="27"/>
  <c r="T23" i="27" s="1"/>
  <c r="Y11" i="26"/>
  <c r="Y23" i="26" s="1"/>
  <c r="Y26" i="26" s="1"/>
  <c r="Y28" i="26" s="1"/>
  <c r="Y63" i="26" s="1"/>
  <c r="Y67" i="26" s="1"/>
  <c r="T11" i="26"/>
  <c r="T23" i="26" s="1"/>
  <c r="C50" i="9"/>
  <c r="K45" i="9"/>
  <c r="K60" i="9" s="1"/>
  <c r="K69" i="9" s="1"/>
  <c r="CN574" i="6"/>
  <c r="BD555" i="6" s="1"/>
  <c r="AT557" i="6" s="1"/>
  <c r="Q6" i="9"/>
  <c r="O7" i="9"/>
  <c r="O11" i="9"/>
  <c r="O37" i="9" s="1"/>
  <c r="Y4" i="9"/>
  <c r="W5" i="9"/>
  <c r="I62" i="9"/>
  <c r="I67" i="9"/>
  <c r="I69" i="9"/>
  <c r="I68" i="9"/>
  <c r="I66" i="9"/>
  <c r="AE15" i="9"/>
  <c r="G70" i="9"/>
  <c r="G72" i="9" s="1"/>
  <c r="M45" i="9"/>
  <c r="M49" i="9"/>
  <c r="W16" i="9"/>
  <c r="U22" i="9"/>
  <c r="U35" i="9" s="1"/>
  <c r="Y32" i="9"/>
  <c r="U8" i="9"/>
  <c r="S9" i="9"/>
  <c r="T26" i="27" l="1"/>
  <c r="T28" i="27" s="1"/>
  <c r="T29" i="27" s="1"/>
  <c r="Y38" i="27"/>
  <c r="Y40" i="27" s="1"/>
  <c r="AD38" i="27"/>
  <c r="AD40" i="27" s="1"/>
  <c r="T26" i="26"/>
  <c r="T28" i="26" s="1"/>
  <c r="T29" i="26" s="1"/>
  <c r="AD38" i="26"/>
  <c r="AD40" i="26" s="1"/>
  <c r="Y38" i="26"/>
  <c r="Y40" i="26" s="1"/>
  <c r="Y41" i="26" s="1"/>
  <c r="AB55" i="26" s="1"/>
  <c r="AB56" i="26" s="1"/>
  <c r="AB58" i="26" s="1"/>
  <c r="T23" i="5"/>
  <c r="BE16" i="28"/>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Q71" i="25" l="1"/>
  <c r="O75" i="25" s="1"/>
  <c r="R75" i="25" s="1"/>
  <c r="Y63" i="5"/>
  <c r="Y67" i="5" s="1"/>
  <c r="AD38" i="5"/>
  <c r="AD40" i="5" s="1"/>
  <c r="T26" i="5"/>
  <c r="T28" i="5" s="1"/>
  <c r="T29" i="5" s="1"/>
  <c r="AB75" i="26"/>
  <c r="AB76" i="26" s="1"/>
  <c r="AB77" i="26" s="1"/>
  <c r="AB79" i="26" s="1"/>
  <c r="J80" i="26" s="1"/>
  <c r="F59" i="26"/>
  <c r="Y41" i="27"/>
  <c r="AB55" i="27" s="1"/>
  <c r="AB56" i="27" s="1"/>
  <c r="AB58" i="27" s="1"/>
  <c r="K70" i="9"/>
  <c r="K72" i="9" s="1"/>
  <c r="Q45" i="9"/>
  <c r="Q49" i="9"/>
  <c r="AC4" i="9"/>
  <c r="AA5" i="9"/>
  <c r="O48" i="9"/>
  <c r="O60" i="9"/>
  <c r="O47" i="9"/>
  <c r="U6" i="9"/>
  <c r="S7" i="9"/>
  <c r="S11" i="9" s="1"/>
  <c r="S37" i="9" s="1"/>
  <c r="AA16" i="9"/>
  <c r="Y22" i="9"/>
  <c r="Y35" i="9" s="1"/>
  <c r="M62" i="9"/>
  <c r="M66" i="9"/>
  <c r="M68" i="9"/>
  <c r="M69" i="9"/>
  <c r="M67" i="9"/>
  <c r="AC32" i="9"/>
  <c r="W9" i="9"/>
  <c r="Y8" i="9"/>
  <c r="Y38" i="5" l="1"/>
  <c r="Y40" i="5" s="1"/>
  <c r="AR43" i="5" s="1"/>
  <c r="F59" i="27"/>
  <c r="AB75" i="27"/>
  <c r="AB76" i="27" s="1"/>
  <c r="AB77" i="27" s="1"/>
  <c r="AB79" i="27" s="1"/>
  <c r="J80" i="27" s="1"/>
  <c r="M70" i="9"/>
  <c r="M72" i="9" s="1"/>
  <c r="W6" i="9"/>
  <c r="U7" i="9"/>
  <c r="U11" i="9" s="1"/>
  <c r="U37" i="9" s="1"/>
  <c r="O68" i="9"/>
  <c r="O62" i="9"/>
  <c r="O66" i="9"/>
  <c r="O69" i="9"/>
  <c r="O67" i="9"/>
  <c r="AC16" i="9"/>
  <c r="AA22" i="9"/>
  <c r="AA35" i="9" s="1"/>
  <c r="S45" i="9"/>
  <c r="S49" i="9"/>
  <c r="AC5" i="9"/>
  <c r="AE4" i="9"/>
  <c r="Q48" i="9"/>
  <c r="Q60" i="9"/>
  <c r="Q47" i="9"/>
  <c r="AE32" i="9"/>
  <c r="Y9" i="9"/>
  <c r="AA8" i="9"/>
  <c r="AR42" i="5" l="1"/>
  <c r="Y41" i="5" s="1"/>
  <c r="AB55" i="5" s="1"/>
  <c r="Q22" i="28" s="1"/>
  <c r="V33" i="28" s="1"/>
  <c r="V35" i="28" s="1"/>
  <c r="AE5" i="9"/>
  <c r="AG4" i="9"/>
  <c r="O70" i="9"/>
  <c r="O72" i="9" s="1"/>
  <c r="S47" i="9"/>
  <c r="S48" i="9"/>
  <c r="S60" i="9"/>
  <c r="W7" i="9"/>
  <c r="W11" i="9" s="1"/>
  <c r="W37" i="9" s="1"/>
  <c r="Y6" i="9"/>
  <c r="U49" i="9"/>
  <c r="U45" i="9"/>
  <c r="Q68" i="9"/>
  <c r="Q69" i="9"/>
  <c r="Q67" i="9"/>
  <c r="Q66" i="9"/>
  <c r="Q62" i="9"/>
  <c r="AE16" i="9"/>
  <c r="AC22" i="9"/>
  <c r="AC35" i="9" s="1"/>
  <c r="AG32" i="9"/>
  <c r="AA9" i="9"/>
  <c r="AC8" i="9"/>
  <c r="AB56" i="5" l="1"/>
  <c r="AB58" i="5" s="1"/>
  <c r="F59" i="5" s="1"/>
  <c r="BE15" i="28"/>
  <c r="M25" i="3"/>
  <c r="P203" i="3" s="1"/>
  <c r="AG5" i="9"/>
  <c r="Q70" i="9"/>
  <c r="Q72" i="9" s="1"/>
  <c r="W45" i="9"/>
  <c r="W49" i="9"/>
  <c r="AG16" i="9"/>
  <c r="AG22" i="9" s="1"/>
  <c r="AG35" i="9" s="1"/>
  <c r="AE22" i="9"/>
  <c r="AE35" i="9" s="1"/>
  <c r="S67" i="9"/>
  <c r="S68" i="9"/>
  <c r="S69" i="9"/>
  <c r="S62" i="9"/>
  <c r="S66" i="9"/>
  <c r="U48" i="9"/>
  <c r="U60" i="9"/>
  <c r="U47" i="9"/>
  <c r="Y7" i="9"/>
  <c r="Y11" i="9" s="1"/>
  <c r="Y37" i="9" s="1"/>
  <c r="AA6" i="9"/>
  <c r="AC9" i="9"/>
  <c r="AE8" i="9"/>
  <c r="AB75" i="5" l="1"/>
  <c r="AB76" i="5" s="1"/>
  <c r="AB77" i="5" s="1"/>
  <c r="AB79" i="5" s="1"/>
  <c r="J80" i="5" s="1"/>
  <c r="Y45" i="9"/>
  <c r="Y49" i="9"/>
  <c r="S70" i="9"/>
  <c r="S72" i="9" s="1"/>
  <c r="AA7" i="9"/>
  <c r="AA11" i="9" s="1"/>
  <c r="AA37" i="9" s="1"/>
  <c r="AC6" i="9"/>
  <c r="U69" i="9"/>
  <c r="U67" i="9"/>
  <c r="U66" i="9"/>
  <c r="U62" i="9"/>
  <c r="U68" i="9"/>
  <c r="W47" i="9"/>
  <c r="W48" i="9"/>
  <c r="W60" i="9"/>
  <c r="AG8" i="9"/>
  <c r="AE9" i="9"/>
  <c r="M27" i="3" l="1"/>
  <c r="D203" i="3" s="1"/>
  <c r="AA49" i="9"/>
  <c r="AA45" i="9"/>
  <c r="W66" i="9"/>
  <c r="W68" i="9"/>
  <c r="W67" i="9"/>
  <c r="W69" i="9"/>
  <c r="W62" i="9"/>
  <c r="AE6" i="9"/>
  <c r="AC7" i="9"/>
  <c r="AC11" i="9"/>
  <c r="AC37" i="9" s="1"/>
  <c r="U70" i="9"/>
  <c r="U72" i="9" s="1"/>
  <c r="Y48" i="9"/>
  <c r="Y60" i="9"/>
  <c r="Y47" i="9"/>
  <c r="AG9" i="9"/>
  <c r="W203" i="3" l="1"/>
  <c r="AG6" i="9"/>
  <c r="AE7" i="9"/>
  <c r="AE11" i="9"/>
  <c r="AE37" i="9" s="1"/>
  <c r="Y66" i="9"/>
  <c r="Y69" i="9"/>
  <c r="Y62" i="9"/>
  <c r="Y68" i="9"/>
  <c r="Y67" i="9"/>
  <c r="AC49" i="9"/>
  <c r="AC45" i="9"/>
  <c r="AA47" i="9"/>
  <c r="AA48" i="9"/>
  <c r="AA60" i="9"/>
  <c r="W70" i="9"/>
  <c r="W72" i="9" s="1"/>
  <c r="AG7" i="9" l="1"/>
  <c r="AG11" i="9"/>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L90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<sst xmlns="http://schemas.openxmlformats.org/spreadsheetml/2006/main" count="4726" uniqueCount="2526">
  <si>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</si>
  <si>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</si>
  <si>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</si>
  <si>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</si>
  <si>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</si>
  <si>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</si>
  <si>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</si>
  <si>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</si>
  <si>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</si>
  <si>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</si>
  <si>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</si>
  <si>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</si>
  <si>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</si>
  <si>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</si>
  <si>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</si>
  <si>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</si>
  <si>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</si>
  <si>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</si>
  <si>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</si>
  <si>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</si>
  <si>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</si>
  <si>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</si>
  <si>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</si>
  <si>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</si>
  <si>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</si>
  <si>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</si>
  <si>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</si>
  <si>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</si>
  <si>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</si>
  <si>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</si>
  <si>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</si>
  <si>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</si>
  <si>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</si>
  <si>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</si>
  <si>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</si>
  <si>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</si>
  <si>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</si>
  <si>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</si>
  <si>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</si>
  <si>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</si>
  <si>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</si>
  <si>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</si>
  <si>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</si>
  <si>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</si>
  <si>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</si>
  <si>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</si>
  <si>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</si>
  <si>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</si>
  <si>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</si>
  <si>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</si>
  <si>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</si>
  <si>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</si>
  <si>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</si>
  <si>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</si>
  <si>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</si>
  <si>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</si>
  <si>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</si>
  <si>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</si>
  <si>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</si>
  <si>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</si>
  <si>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</si>
  <si>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</si>
  <si>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</si>
  <si>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</si>
  <si>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</si>
  <si>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</si>
  <si>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</si>
  <si>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</si>
  <si>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</si>
  <si>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</si>
  <si>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</si>
  <si>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</si>
  <si>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</si>
  <si>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</si>
  <si>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</si>
  <si>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</si>
  <si>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</si>
  <si>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</si>
  <si>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</si>
  <si>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</si>
  <si>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</si>
  <si>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</si>
  <si>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</si>
  <si>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</si>
  <si>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</si>
  <si>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</si>
  <si>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</si>
  <si>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</si>
  <si>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</si>
  <si>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</si>
  <si>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</si>
  <si>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</si>
  <si>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</si>
  <si>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</si>
  <si>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</si>
  <si>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</si>
  <si>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</si>
  <si>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</si>
  <si>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</si>
  <si>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</si>
  <si>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</si>
  <si>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</si>
  <si>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</si>
  <si>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</si>
  <si>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</si>
  <si>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</si>
  <si>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</si>
  <si>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</si>
  <si>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</si>
  <si>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</si>
  <si>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</si>
  <si>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</si>
  <si>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</si>
  <si>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</si>
  <si>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</si>
  <si>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</si>
  <si>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</si>
  <si>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</si>
  <si>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</si>
  <si>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</si>
  <si>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</si>
  <si>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</si>
  <si>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</si>
  <si>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</si>
  <si>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</si>
  <si>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</si>
  <si>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</si>
  <si>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</si>
  <si>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</si>
  <si>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</si>
  <si>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</si>
  <si>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</si>
  <si>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</si>
  <si>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</si>
  <si>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</si>
  <si>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</si>
  <si>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</si>
  <si>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</si>
  <si>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</si>
  <si>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</si>
  <si>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</si>
  <si>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</si>
  <si>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</si>
  <si>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</si>
  <si>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</si>
  <si>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</si>
  <si>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</si>
  <si>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</si>
  <si>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</si>
  <si>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</si>
  <si>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</si>
  <si>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</si>
  <si>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</si>
  <si>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</si>
  <si>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</si>
  <si>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</si>
  <si>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</si>
  <si>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</si>
  <si>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</si>
  <si>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</si>
  <si>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</si>
  <si>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</si>
  <si>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</si>
  <si>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</si>
  <si>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</si>
  <si>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</si>
  <si>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</si>
  <si>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</si>
  <si>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</si>
  <si>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</si>
  <si>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</si>
  <si>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</si>
  <si>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</si>
  <si>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</si>
  <si>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</si>
  <si>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</si>
  <si>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</si>
  <si>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</si>
  <si>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</si>
  <si>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</si>
  <si>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</si>
  <si>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</si>
  <si>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</si>
  <si>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</si>
  <si>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</si>
  <si>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</si>
  <si>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</si>
  <si>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</si>
  <si>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</si>
  <si>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</si>
  <si>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</si>
  <si>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</si>
  <si>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</si>
  <si>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</si>
  <si>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</si>
  <si>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</si>
  <si>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</si>
  <si>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</si>
  <si>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</si>
  <si>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</si>
  <si>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</si>
  <si>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</si>
  <si>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</si>
  <si>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</si>
  <si>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</si>
  <si>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</si>
  <si>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</si>
  <si>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</si>
  <si>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</si>
  <si>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</si>
  <si>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</si>
  <si>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</si>
  <si>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</si>
  <si>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</si>
  <si>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</si>
  <si>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</si>
  <si>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</si>
  <si>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</si>
  <si>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</si>
  <si>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</si>
  <si>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</si>
  <si>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</si>
  <si>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</si>
  <si>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</si>
  <si>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</si>
  <si>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</si>
  <si>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</si>
  <si>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</si>
  <si>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</si>
  <si>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</si>
  <si>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</si>
  <si>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</si>
  <si>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</si>
  <si>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</si>
  <si>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</si>
  <si>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</si>
  <si>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</si>
  <si>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</si>
  <si>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</si>
  <si>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</si>
  <si>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</si>
  <si>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</si>
  <si>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</si>
  <si>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</si>
  <si>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</si>
  <si>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</si>
  <si>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</si>
  <si>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</si>
  <si>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</si>
  <si>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</si>
  <si>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</si>
  <si>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</si>
  <si>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</si>
  <si>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</si>
  <si>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</si>
  <si>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</si>
  <si>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</si>
  <si>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</si>
  <si>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</si>
  <si>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</si>
  <si>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</si>
  <si>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</si>
  <si>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</si>
  <si>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</si>
  <si>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</si>
  <si>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</si>
  <si>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</si>
  <si>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</si>
  <si>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</si>
  <si>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</si>
  <si>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</si>
  <si>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</si>
  <si>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</si>
  <si>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</si>
  <si>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</si>
  <si>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</si>
  <si>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</si>
  <si>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</si>
  <si>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</si>
  <si>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</si>
  <si>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</si>
  <si>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</si>
  <si>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</si>
  <si>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</si>
  <si>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</si>
  <si>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</si>
  <si>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</si>
  <si>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</si>
  <si>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</si>
  <si>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</si>
  <si>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</si>
  <si>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</si>
  <si>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</si>
  <si>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</si>
  <si>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</si>
  <si>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</si>
  <si>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</si>
  <si>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</si>
  <si>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</si>
  <si>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</si>
  <si>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</si>
  <si>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</si>
  <si>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</si>
  <si>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</si>
  <si>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</si>
  <si>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</si>
  <si>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</si>
  <si>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</si>
  <si>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</si>
  <si>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</si>
  <si>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</si>
  <si>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</si>
  <si>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</si>
  <si>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</si>
  <si>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</si>
  <si>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</si>
  <si>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</si>
  <si>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</si>
  <si>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</si>
  <si>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</si>
  <si>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</si>
  <si>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</si>
  <si>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</si>
  <si>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</si>
  <si>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</si>
  <si>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</si>
  <si>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</si>
  <si>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</si>
  <si>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</si>
  <si>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</si>
  <si>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</si>
  <si>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</si>
  <si>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</si>
  <si>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</si>
  <si>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</si>
  <si>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</si>
  <si>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</si>
  <si>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</si>
  <si>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</si>
  <si>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</si>
  <si>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</si>
  <si>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</si>
  <si>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</si>
  <si>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</si>
  <si>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</si>
  <si>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</si>
  <si>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</si>
  <si>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</si>
  <si>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</si>
  <si>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</si>
  <si>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</si>
  <si>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</si>
  <si>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</si>
  <si>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</si>
  <si>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</si>
  <si>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</si>
  <si>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</si>
  <si>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</si>
  <si>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</si>
  <si>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</si>
  <si>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</si>
  <si>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</si>
  <si>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</si>
  <si>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</si>
  <si>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</si>
  <si>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</si>
  <si>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</si>
  <si>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</si>
  <si>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</si>
  <si>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</si>
  <si>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</si>
  <si>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</si>
  <si>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</si>
  <si>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</si>
  <si>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</si>
  <si>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</si>
  <si>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</si>
  <si>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</si>
  <si>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</si>
  <si>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</si>
  <si>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</si>
  <si>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</si>
  <si>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</si>
  <si>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</si>
  <si>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</si>
  <si>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</si>
  <si>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</si>
  <si>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</si>
  <si>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</si>
  <si>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</si>
  <si>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</si>
  <si>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</si>
  <si>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</si>
  <si>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</si>
  <si>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</si>
  <si>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</si>
  <si>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</si>
  <si>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</si>
  <si>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</si>
  <si>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</si>
  <si>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</si>
  <si>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</si>
  <si>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</si>
  <si>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</si>
  <si>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</si>
  <si>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</si>
  <si>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</si>
  <si>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</si>
  <si>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</si>
  <si>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</si>
  <si>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</si>
  <si>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</si>
  <si>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</si>
  <si>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</si>
  <si>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</si>
  <si>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</si>
  <si>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</si>
  <si>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</si>
  <si>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</si>
  <si>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</si>
  <si>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</si>
  <si>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</si>
  <si>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</si>
  <si>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</si>
  <si>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</si>
  <si>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</si>
  <si>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</si>
  <si>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</si>
  <si>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</si>
  <si>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</si>
  <si>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</si>
  <si>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</si>
  <si>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</si>
  <si>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</si>
  <si>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</si>
  <si>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</si>
  <si>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</si>
  <si>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</si>
  <si>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</si>
  <si>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</si>
  <si>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</si>
  <si>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</si>
  <si>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</si>
  <si>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</si>
  <si>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</si>
  <si>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</si>
  <si>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</si>
  <si>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</si>
  <si>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</si>
  <si>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</si>
  <si>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</si>
  <si>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</si>
  <si>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</si>
  <si>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</si>
  <si>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</si>
  <si>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</si>
  <si>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</si>
  <si>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</si>
  <si>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</si>
  <si>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</si>
  <si>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</si>
  <si>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</si>
  <si>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</si>
  <si>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</si>
  <si>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</si>
  <si>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</si>
  <si>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</si>
  <si>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</si>
  <si>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</si>
  <si>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</si>
  <si>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</si>
  <si>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</si>
  <si>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</si>
  <si>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</si>
  <si>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</si>
  <si>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</si>
  <si>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</si>
  <si>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</si>
  <si>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</si>
  <si>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</si>
  <si>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</si>
  <si>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</si>
  <si>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</si>
  <si>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</si>
  <si>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</si>
  <si>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</si>
  <si>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</si>
  <si>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</si>
  <si>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</si>
  <si>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</si>
  <si>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</si>
  <si>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</si>
  <si>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</si>
  <si>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</si>
  <si>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</si>
  <si>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</si>
  <si>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</si>
  <si>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</si>
  <si>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</si>
  <si>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</si>
  <si>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</si>
  <si>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</si>
  <si>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</si>
  <si>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</si>
  <si>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</si>
  <si>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</si>
  <si>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</si>
  <si>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</si>
  <si>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</si>
  <si>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</si>
  <si>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</si>
  <si>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</si>
  <si>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</si>
  <si>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</si>
  <si>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</si>
  <si>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</si>
  <si>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</si>
  <si>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</si>
  <si>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</si>
  <si>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</si>
  <si>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</si>
  <si>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</si>
  <si>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</si>
  <si>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</si>
  <si>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</si>
  <si>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</si>
  <si>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</si>
  <si>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</si>
  <si>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</si>
  <si>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</si>
  <si>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</si>
  <si>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</si>
  <si>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</si>
  <si>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</si>
  <si>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</si>
  <si>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</si>
  <si>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</si>
  <si>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</si>
  <si>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</si>
  <si>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</si>
  <si>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</si>
  <si>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</si>
  <si>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</si>
  <si>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</si>
  <si>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</si>
  <si>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</si>
  <si>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</si>
  <si>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</si>
  <si>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</si>
  <si>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</si>
  <si>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</si>
  <si>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</si>
  <si>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</si>
  <si>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</si>
  <si>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</si>
  <si>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</si>
  <si>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</si>
  <si>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</si>
  <si>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</si>
  <si>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</si>
  <si>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</si>
  <si>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</si>
  <si>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</si>
  <si>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</si>
  <si>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</si>
  <si>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</si>
  <si>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</si>
  <si>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</si>
  <si>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</si>
  <si>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</si>
  <si>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</si>
  <si>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</si>
  <si>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</si>
  <si>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</si>
  <si>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</si>
  <si>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</si>
  <si>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</si>
  <si>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</si>
  <si>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</si>
  <si>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</si>
  <si>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</si>
  <si>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</si>
  <si>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</si>
  <si>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</si>
  <si>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</si>
  <si>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</si>
  <si>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</si>
  <si>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</si>
  <si>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</si>
  <si>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</si>
  <si>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</si>
  <si>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</si>
  <si>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</si>
  <si>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</si>
  <si>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</si>
  <si>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</si>
  <si>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</si>
  <si>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</si>
  <si>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</si>
  <si>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</si>
  <si>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</si>
  <si>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</si>
  <si>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</si>
  <si>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</si>
  <si>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</si>
  <si>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</si>
  <si>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</si>
  <si>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</si>
  <si>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</si>
  <si>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</si>
  <si>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</si>
  <si>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</si>
  <si>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</si>
  <si>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</si>
  <si>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</si>
  <si>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</si>
  <si>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</si>
  <si>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</si>
  <si>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</si>
  <si>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</si>
  <si>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</si>
  <si>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</si>
  <si>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</si>
  <si>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</si>
  <si>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</si>
  <si>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</si>
  <si>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</si>
  <si>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</si>
  <si>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</si>
  <si>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</si>
  <si>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</si>
  <si>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</si>
  <si>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</si>
  <si>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</si>
  <si>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</si>
  <si>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</si>
  <si>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</si>
  <si>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</si>
  <si>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</si>
  <si>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</si>
  <si>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</si>
  <si>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</si>
  <si>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</si>
  <si>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</si>
  <si>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</si>
  <si>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</si>
  <si>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</si>
  <si>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</si>
  <si>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</si>
  <si>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</si>
  <si>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</si>
  <si>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</si>
  <si>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</si>
  <si>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</si>
  <si>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</si>
  <si>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</si>
  <si>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</si>
  <si>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</si>
  <si>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</si>
  <si>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</si>
  <si>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</si>
  <si>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</si>
  <si>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</si>
  <si>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</si>
  <si>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</si>
  <si>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</si>
  <si>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</si>
  <si>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</si>
  <si>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</si>
  <si>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</si>
  <si>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</si>
  <si>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</si>
  <si>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</si>
  <si>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</si>
  <si>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</si>
  <si>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</si>
  <si>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</si>
  <si>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</si>
  <si>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</si>
  <si>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</si>
  <si>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</si>
  <si>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</si>
  <si>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</si>
  <si>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</si>
  <si>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</si>
  <si>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</si>
  <si>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</si>
  <si>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</si>
  <si>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</si>
  <si>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</si>
  <si>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</si>
  <si>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</si>
  <si>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</si>
  <si>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</si>
  <si>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</si>
  <si>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</si>
  <si>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</si>
  <si>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</si>
  <si>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</si>
  <si>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</si>
  <si>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</si>
  <si>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</si>
  <si>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</si>
  <si>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</si>
  <si>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</si>
  <si>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</si>
  <si>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</si>
  <si>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</si>
  <si>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</si>
  <si>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</si>
  <si>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</si>
  <si>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</si>
  <si>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</si>
  <si>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</si>
  <si>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</si>
  <si>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</si>
  <si>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</si>
  <si>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</si>
  <si>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</si>
  <si>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</si>
  <si>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</si>
  <si>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</si>
  <si>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</si>
  <si>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</si>
  <si>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</si>
  <si>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</si>
  <si>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</si>
  <si>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</si>
  <si>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</si>
  <si>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</si>
  <si>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</si>
  <si>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</si>
  <si>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</si>
  <si>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</si>
  <si>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</si>
  <si>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</si>
  <si>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</si>
  <si>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</si>
  <si>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</si>
  <si>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</si>
  <si>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</si>
  <si>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</si>
  <si>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</si>
  <si>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</si>
  <si>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</si>
  <si>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</si>
  <si>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</si>
  <si>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</si>
  <si>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</si>
  <si>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</si>
  <si>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</si>
  <si>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</si>
  <si>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</si>
  <si>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</si>
  <si>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</si>
  <si>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</si>
  <si>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</si>
  <si>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</si>
  <si>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</si>
  <si>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</si>
  <si>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</si>
  <si>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</si>
  <si>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</si>
  <si>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</si>
  <si>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</si>
  <si>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</si>
  <si>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</si>
  <si>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</si>
  <si>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</si>
  <si>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</si>
  <si>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</si>
  <si>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</si>
  <si>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</si>
  <si>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</si>
  <si>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</si>
  <si>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</si>
  <si>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</si>
  <si>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</si>
  <si>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</si>
  <si>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</si>
  <si>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</si>
  <si>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</si>
  <si>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</si>
  <si>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</si>
  <si>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</si>
  <si>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</si>
  <si>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</si>
  <si>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</si>
  <si>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</si>
  <si>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</si>
  <si>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</si>
  <si>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</si>
  <si>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</si>
  <si>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</si>
  <si>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</si>
  <si>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</si>
  <si>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</si>
  <si>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</si>
  <si>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</si>
  <si>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</si>
  <si>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</si>
  <si>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</si>
  <si>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</si>
  <si>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</si>
  <si>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</si>
  <si>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</si>
  <si>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</si>
  <si>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</si>
  <si>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</si>
  <si>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</si>
  <si>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</si>
  <si>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</si>
  <si>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</si>
  <si>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</si>
  <si>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</si>
  <si>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</si>
  <si>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</si>
  <si>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</si>
  <si>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</si>
  <si>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</si>
  <si>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</si>
  <si>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</si>
  <si>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</si>
  <si>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</si>
  <si>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</si>
  <si>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</si>
  <si>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</si>
  <si>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</si>
  <si>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</si>
  <si>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</si>
  <si>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</si>
  <si>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</si>
  <si>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</si>
  <si>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</si>
  <si>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</si>
  <si>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</si>
  <si>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</si>
  <si>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</si>
  <si>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</si>
  <si>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</si>
  <si>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</si>
  <si>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</si>
  <si>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</si>
  <si>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</si>
  <si>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</si>
  <si>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</si>
  <si>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</si>
  <si>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</si>
  <si>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</si>
  <si>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</si>
  <si>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</si>
  <si>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</si>
  <si>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</si>
  <si>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</si>
  <si>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</si>
  <si>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</si>
  <si>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</si>
  <si>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</si>
  <si>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</si>
  <si>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</si>
  <si>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</si>
  <si>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</si>
  <si>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</si>
  <si>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</si>
  <si>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</si>
  <si>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</si>
  <si>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</si>
  <si>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</si>
  <si>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</si>
  <si>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</si>
  <si>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</si>
  <si>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</si>
  <si>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</si>
  <si>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</si>
  <si>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</si>
  <si>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</si>
  <si>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</si>
  <si>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</si>
  <si>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</si>
  <si>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</si>
  <si>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</si>
  <si>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</si>
  <si>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</si>
  <si>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</si>
  <si>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</si>
  <si>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</si>
  <si>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</si>
  <si>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</si>
  <si>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</si>
  <si>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</si>
  <si>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</si>
  <si>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</si>
  <si>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</si>
  <si>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</si>
  <si>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</si>
  <si>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</si>
  <si>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</si>
  <si>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</si>
  <si>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</si>
  <si>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</si>
  <si>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</si>
  <si>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</si>
  <si>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</si>
  <si>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</si>
  <si>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</si>
  <si>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</si>
  <si>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</si>
  <si>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</si>
  <si>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</si>
  <si>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</si>
  <si>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</si>
  <si>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</si>
  <si>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</si>
  <si>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</si>
  <si>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</si>
  <si>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</si>
  <si>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</si>
  <si>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</si>
  <si>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</si>
  <si>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</si>
  <si>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</si>
  <si>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</si>
  <si>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</si>
  <si>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</si>
  <si>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</si>
  <si>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</si>
  <si>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</si>
  <si>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</si>
  <si>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</si>
  <si>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</si>
  <si>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</si>
  <si>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</si>
  <si>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</si>
  <si>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</si>
  <si>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</si>
  <si>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</si>
  <si>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</si>
  <si>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</si>
  <si>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</si>
  <si>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</si>
  <si>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</si>
  <si>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</si>
  <si>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</si>
  <si>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</si>
  <si>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</si>
  <si>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</si>
  <si>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</si>
  <si>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</si>
  <si>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</si>
  <si>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</si>
  <si>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</si>
  <si>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</si>
  <si>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</si>
  <si>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</si>
  <si>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</si>
  <si>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</si>
  <si>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</si>
  <si>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</si>
  <si>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</si>
  <si>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</si>
  <si>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</si>
  <si>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</si>
  <si>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</si>
  <si>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</si>
  <si>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</si>
  <si>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</si>
  <si>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</si>
  <si>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</si>
  <si>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</si>
  <si>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</si>
  <si>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</si>
  <si>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</si>
  <si>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</si>
  <si>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</si>
  <si>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</si>
  <si>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</si>
  <si>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</si>
  <si>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</si>
  <si>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</si>
  <si>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</si>
  <si>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</si>
  <si>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</si>
  <si>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</si>
  <si>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</si>
  <si>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</si>
  <si>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</si>
  <si>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</si>
  <si>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</si>
  <si>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</si>
  <si>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</si>
  <si>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</si>
  <si>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</si>
  <si>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</si>
  <si>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</si>
  <si>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</si>
  <si>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</si>
  <si>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</si>
  <si>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</si>
  <si>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</si>
  <si>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</si>
  <si>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</si>
  <si>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</si>
  <si>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</si>
  <si>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</si>
  <si>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</si>
  <si>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</si>
  <si>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</si>
  <si>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</si>
  <si>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</si>
  <si>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</si>
  <si>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</si>
  <si>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</si>
  <si>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</si>
  <si>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</si>
  <si>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</si>
  <si>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</si>
  <si>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</si>
  <si>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</si>
  <si>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</si>
  <si>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</si>
  <si>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</si>
  <si>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</si>
  <si>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</si>
  <si>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</si>
  <si>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</si>
  <si>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</si>
  <si>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</si>
  <si>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</si>
  <si>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</si>
  <si>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</si>
  <si>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</si>
  <si>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</si>
  <si>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</si>
  <si>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</si>
  <si>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</si>
  <si>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</si>
  <si>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</si>
  <si>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</si>
  <si>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</si>
  <si>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</si>
  <si>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</si>
  <si>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</si>
  <si>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</si>
  <si>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</si>
  <si>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</si>
  <si>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</si>
  <si>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</si>
  <si>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</si>
  <si>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</si>
  <si>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</si>
  <si>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</si>
  <si>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</si>
  <si>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</si>
  <si>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</si>
  <si>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</si>
  <si>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</si>
  <si>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</si>
  <si>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</si>
  <si>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</si>
  <si>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</si>
  <si>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</si>
  <si>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</si>
  <si>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</si>
  <si>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</si>
  <si>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</si>
  <si>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</si>
  <si>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</si>
  <si>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</si>
  <si>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</si>
  <si>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</si>
  <si>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</si>
  <si>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</si>
  <si>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</si>
  <si>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</si>
  <si>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</si>
  <si>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</si>
  <si>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</si>
  <si>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</si>
  <si>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</si>
  <si>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</si>
  <si>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</si>
  <si>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</si>
  <si>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</si>
  <si>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</si>
  <si>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</si>
  <si>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</si>
  <si>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</si>
  <si>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</si>
  <si>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</si>
  <si>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</si>
  <si>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</si>
  <si>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</si>
  <si>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</si>
  <si>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</si>
  <si>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</si>
  <si>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</si>
  <si>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</si>
  <si>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</si>
  <si>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</si>
  <si>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</si>
  <si>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</si>
  <si>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</si>
  <si>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</si>
  <si>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</si>
  <si>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</si>
  <si>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</si>
  <si>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</si>
  <si>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</si>
  <si>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</si>
  <si>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</si>
  <si>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</si>
  <si>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</si>
  <si>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</si>
  <si>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</si>
  <si>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</si>
  <si>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</si>
  <si>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</si>
  <si>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</si>
  <si>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</si>
  <si>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</si>
  <si>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</si>
  <si>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</si>
  <si>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</si>
  <si>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</si>
  <si>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</si>
  <si>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</si>
  <si>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</si>
  <si>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</si>
  <si>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</si>
  <si>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</si>
  <si>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</si>
  <si>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</si>
  <si>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</si>
  <si>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</si>
  <si>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</si>
  <si>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</si>
  <si>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</si>
  <si>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</si>
  <si>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</si>
  <si>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</si>
  <si>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</si>
  <si>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</si>
  <si>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</si>
  <si>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</si>
  <si>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</si>
  <si>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</si>
  <si>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</si>
  <si>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</si>
  <si>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</si>
  <si>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</si>
  <si>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</si>
  <si>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</si>
  <si>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</si>
  <si>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</si>
  <si>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</si>
  <si>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</si>
  <si>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</si>
  <si>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</si>
  <si>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</si>
  <si>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</si>
  <si>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</si>
  <si>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</si>
  <si>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</si>
  <si>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</si>
  <si>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</si>
  <si>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</si>
  <si>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</si>
  <si>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</si>
  <si>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</si>
  <si>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</si>
  <si>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</si>
  <si>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</si>
  <si>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</si>
  <si>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</si>
  <si>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</si>
  <si>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</si>
  <si>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</si>
  <si>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</si>
  <si>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</si>
  <si>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</si>
  <si>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</si>
  <si>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</si>
  <si>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</si>
  <si>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</si>
  <si>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</si>
  <si>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</si>
  <si>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</si>
  <si>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</si>
  <si>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</si>
  <si>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</si>
  <si>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</si>
  <si>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</si>
  <si>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</si>
  <si>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</si>
  <si>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</si>
  <si>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</si>
  <si>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</si>
  <si>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</si>
  <si>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</si>
  <si>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</si>
  <si>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</si>
  <si>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</si>
  <si>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</si>
  <si>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</si>
  <si>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</si>
  <si>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</si>
  <si>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</si>
  <si>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</si>
  <si>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</si>
  <si>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</si>
  <si>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</si>
  <si>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</si>
  <si>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</si>
  <si>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</si>
  <si>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</si>
  <si>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</si>
  <si>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</si>
  <si>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</si>
  <si>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</si>
  <si>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</si>
  <si>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</si>
  <si>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</si>
  <si>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</si>
  <si>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</si>
  <si>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</si>
  <si>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</si>
  <si>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</si>
  <si>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</si>
  <si>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</si>
  <si>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</si>
  <si>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</si>
  <si>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</si>
  <si>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</si>
  <si>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</si>
  <si>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</si>
  <si>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</si>
  <si>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</si>
  <si>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</si>
  <si>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</si>
  <si>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</si>
  <si>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</si>
  <si>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</si>
  <si>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</si>
  <si>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</si>
  <si>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</si>
  <si>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</si>
  <si>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</si>
  <si>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</si>
  <si>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</si>
  <si>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</si>
  <si>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</si>
  <si>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</si>
  <si>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</si>
  <si>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</si>
  <si>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</si>
  <si>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</si>
  <si>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</si>
  <si>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</si>
  <si>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</si>
  <si>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</si>
  <si>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</si>
  <si>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</si>
  <si>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</si>
  <si>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</si>
  <si>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</si>
  <si>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</si>
  <si>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</si>
  <si>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</si>
  <si>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</si>
  <si>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</si>
  <si>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</si>
  <si>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</si>
  <si>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</si>
  <si>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</si>
  <si>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</si>
  <si>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</si>
  <si>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</si>
  <si>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</si>
  <si>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</si>
  <si>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</si>
  <si>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</si>
  <si>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</si>
  <si>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</si>
  <si>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</si>
  <si>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</si>
  <si>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</si>
  <si>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</si>
  <si>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</si>
  <si>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</si>
  <si>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</si>
  <si>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</si>
  <si>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</si>
  <si>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</si>
  <si>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</si>
  <si>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</si>
  <si>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</si>
  <si>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</si>
  <si>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</si>
  <si>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</si>
  <si>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</si>
  <si>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</si>
  <si>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</si>
  <si>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</si>
  <si>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</si>
  <si>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</si>
  <si>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</si>
  <si>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</si>
  <si>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</si>
  <si>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</si>
  <si>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</si>
  <si>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</si>
  <si>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</si>
  <si>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</si>
  <si>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</si>
  <si>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</si>
  <si>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</si>
  <si>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</si>
  <si>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</si>
  <si>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</si>
  <si>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</si>
  <si>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</si>
  <si>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</si>
  <si>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</si>
  <si>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</si>
  <si>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</si>
  <si>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</si>
  <si>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</si>
  <si>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</si>
  <si>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</si>
  <si>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</si>
  <si>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</si>
  <si>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</si>
  <si>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</si>
  <si>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</si>
  <si>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</si>
  <si>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</si>
  <si>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</si>
  <si>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</si>
  <si>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</si>
  <si>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</si>
  <si>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</si>
  <si>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</si>
  <si>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</si>
  <si>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</si>
  <si>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</si>
  <si>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</si>
  <si>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</si>
  <si>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</si>
  <si>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</si>
  <si>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</si>
  <si>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</si>
  <si>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</si>
  <si>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</si>
  <si>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</si>
  <si>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</si>
  <si>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</si>
  <si>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</si>
  <si>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</si>
  <si>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</si>
  <si>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</si>
  <si>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</si>
  <si>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</si>
  <si>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</si>
  <si>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</si>
  <si>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</si>
  <si>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</si>
  <si>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</si>
  <si>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</si>
  <si>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</si>
  <si>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</si>
  <si>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</si>
  <si>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</si>
  <si>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</si>
  <si>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</si>
  <si>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</si>
  <si>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</si>
  <si>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</si>
  <si>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</si>
  <si>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</si>
  <si>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</si>
  <si>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</si>
  <si>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</si>
  <si>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</si>
  <si>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</si>
  <si>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</si>
  <si>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</si>
  <si>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</si>
  <si>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</si>
  <si>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</si>
  <si>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</si>
  <si>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</si>
  <si>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</si>
  <si>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</si>
  <si>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</si>
  <si>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</si>
  <si>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</si>
  <si>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</si>
  <si>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</si>
  <si>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</si>
  <si>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</si>
  <si>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</si>
  <si>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</si>
  <si>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</si>
  <si>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</si>
  <si>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</si>
  <si>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</si>
  <si>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</si>
  <si>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</si>
  <si>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</si>
  <si>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</si>
  <si>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</si>
  <si>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</si>
  <si>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</si>
  <si>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</si>
  <si>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</si>
  <si>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</si>
  <si>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</si>
  <si>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</si>
  <si>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</si>
  <si>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</si>
  <si>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</si>
  <si>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</si>
  <si>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</si>
  <si>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</si>
  <si>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</si>
  <si>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</si>
  <si>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</si>
  <si>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</si>
  <si>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</si>
  <si>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</si>
  <si>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</si>
  <si>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</si>
  <si>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</si>
  <si>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</si>
  <si>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</si>
  <si>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</si>
  <si>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</si>
  <si>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</si>
  <si>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</si>
  <si>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</si>
  <si>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</si>
  <si>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</si>
  <si>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</si>
  <si>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</si>
  <si>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</si>
  <si>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</si>
  <si>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</si>
  <si>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</si>
  <si>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</si>
  <si>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</si>
  <si>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</si>
  <si>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</si>
  <si>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</si>
  <si>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</si>
  <si>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</si>
  <si>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</si>
  <si>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</si>
  <si>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</si>
  <si>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</si>
  <si>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</si>
  <si>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</si>
  <si>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</si>
  <si>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</si>
  <si>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</si>
  <si>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</si>
  <si>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</si>
  <si>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</si>
  <si>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</si>
  <si>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</si>
  <si>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</si>
  <si>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</si>
  <si>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</si>
  <si>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</si>
  <si>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</si>
  <si>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</si>
  <si>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</si>
  <si>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</si>
  <si>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</si>
  <si>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</si>
  <si>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</si>
  <si>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</si>
  <si>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</si>
  <si>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</si>
  <si>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</si>
  <si>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</si>
  <si>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</si>
  <si>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</si>
  <si>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</si>
  <si>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</si>
  <si>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</si>
  <si>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</si>
  <si>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</si>
  <si>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</si>
  <si>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</si>
  <si>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</si>
  <si>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</si>
  <si>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</si>
  <si>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</si>
  <si>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</si>
  <si>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</si>
  <si>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</si>
  <si>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</si>
  <si>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</si>
  <si>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</si>
  <si>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</si>
  <si>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</si>
  <si>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</si>
  <si>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</si>
  <si>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</si>
  <si>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</si>
  <si>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</si>
  <si>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</si>
  <si>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</si>
  <si>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</si>
  <si>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</si>
  <si>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</si>
  <si>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</si>
  <si>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</si>
  <si>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</si>
  <si>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</si>
  <si>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</si>
  <si>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</si>
  <si>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</si>
  <si>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</si>
  <si>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</si>
  <si>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</si>
  <si>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</si>
  <si>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</si>
  <si>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</si>
  <si>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</si>
  <si>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</si>
  <si>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</si>
  <si>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</si>
  <si>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</si>
  <si>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</si>
  <si>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</si>
  <si>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</si>
  <si>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</si>
  <si>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</si>
  <si>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</si>
  <si>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</si>
  <si>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</si>
  <si>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</si>
  <si>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</si>
  <si>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</si>
  <si>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</si>
  <si>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</si>
  <si>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</si>
  <si>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</si>
  <si>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</si>
  <si>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</si>
  <si>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</si>
  <si>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</si>
  <si>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</si>
  <si>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</si>
  <si>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</si>
  <si>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</si>
  <si>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</si>
  <si>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</si>
  <si>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</si>
  <si>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</si>
  <si>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</si>
  <si>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</si>
  <si>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</si>
  <si>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</si>
  <si>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</si>
  <si>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</si>
  <si>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</si>
  <si>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</si>
  <si>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</si>
  <si>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</si>
  <si>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</si>
  <si>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</si>
  <si>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</si>
  <si>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</si>
  <si>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</si>
  <si>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</si>
  <si>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</si>
  <si>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</si>
  <si>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</si>
  <si>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</si>
  <si>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</si>
  <si>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</si>
  <si>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</si>
  <si>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</si>
  <si>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</si>
  <si>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</si>
  <si>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</si>
  <si>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</si>
  <si>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</si>
  <si>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</si>
  <si>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</si>
  <si>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</si>
  <si>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</si>
  <si>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</si>
  <si>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</si>
  <si>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</si>
  <si>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</si>
  <si>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</si>
  <si>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</si>
  <si>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</si>
  <si>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</si>
  <si>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</si>
  <si>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</si>
  <si>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</si>
  <si>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</si>
  <si>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</si>
  <si>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</si>
  <si>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</si>
  <si>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</si>
  <si>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</si>
  <si>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</si>
  <si>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</si>
  <si>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</si>
  <si>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</si>
  <si>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</si>
  <si>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</si>
  <si>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</si>
  <si>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</si>
  <si>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</si>
  <si>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</si>
  <si>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</si>
  <si>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</si>
  <si>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</si>
  <si>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</si>
  <si>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</si>
  <si>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</si>
  <si>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</si>
  <si>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</si>
  <si>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</si>
  <si>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</si>
  <si>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</si>
  <si>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</si>
  <si>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</si>
  <si>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</si>
  <si>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</si>
  <si>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</si>
  <si>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</si>
  <si>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</si>
  <si>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</si>
  <si>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</si>
  <si>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</si>
  <si>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</si>
  <si>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</si>
  <si>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</si>
  <si>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</si>
  <si>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</si>
  <si>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</si>
  <si>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</si>
  <si>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</si>
  <si>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</si>
  <si>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</si>
  <si>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</si>
  <si>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</si>
  <si>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</si>
  <si>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</si>
  <si>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</si>
  <si>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</si>
  <si>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</si>
  <si>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</si>
  <si>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</si>
  <si>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</si>
  <si>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</si>
  <si>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</si>
  <si>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</si>
  <si>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</si>
  <si>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</si>
  <si>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</si>
  <si>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</si>
  <si>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</si>
  <si>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</si>
  <si>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</si>
  <si>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</si>
  <si>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</si>
  <si>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</si>
  <si>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</si>
  <si>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</si>
  <si>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</si>
  <si>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</si>
  <si>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</si>
  <si>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</si>
  <si>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</si>
  <si>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</si>
  <si>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</si>
  <si>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</si>
  <si>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</si>
  <si>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</si>
  <si>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</si>
  <si>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</si>
  <si>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</si>
  <si>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</si>
  <si>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</si>
  <si>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</si>
  <si>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</si>
  <si>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</si>
  <si>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</si>
  <si>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</si>
  <si>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</si>
  <si>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</si>
  <si>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</si>
  <si>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</si>
  <si>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</si>
  <si>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</si>
  <si>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</si>
  <si>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</si>
  <si>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</si>
  <si>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</si>
  <si>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</si>
  <si>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</si>
  <si>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</si>
  <si>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</si>
  <si>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</si>
  <si>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</si>
  <si>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</si>
  <si>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</si>
  <si>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</si>
  <si>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</si>
  <si>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</si>
  <si>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</si>
  <si>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</si>
  <si>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</si>
  <si>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</si>
  <si>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</si>
  <si>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</si>
  <si>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</si>
  <si>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</si>
  <si>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</si>
  <si>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</si>
  <si>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</si>
  <si>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</si>
  <si>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</si>
  <si>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</si>
  <si>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</si>
  <si>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</si>
  <si>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</si>
  <si>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</si>
  <si>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</si>
  <si>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</si>
  <si>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</si>
  <si>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</si>
  <si>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</si>
  <si>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</si>
  <si>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</si>
  <si>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</si>
  <si>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</si>
  <si>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</si>
  <si>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</si>
  <si>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</si>
  <si>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</si>
  <si>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</si>
  <si>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</si>
  <si>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</si>
  <si>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</si>
  <si>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</si>
  <si>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</si>
  <si>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</si>
  <si>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</si>
  <si>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</si>
  <si>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</si>
  <si>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</si>
  <si>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</si>
  <si>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</si>
  <si>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</si>
  <si>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</si>
  <si>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</si>
  <si>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</si>
  <si>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</si>
  <si>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</si>
  <si>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</si>
  <si>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</si>
  <si>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</si>
  <si>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</si>
  <si>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</si>
  <si>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</si>
  <si>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</si>
  <si>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</si>
  <si>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</si>
  <si>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</si>
  <si>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</si>
  <si>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</si>
  <si>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</si>
  <si>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</si>
  <si>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</si>
  <si>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</si>
  <si>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</si>
  <si>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</si>
  <si>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</si>
  <si>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</si>
  <si>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</si>
  <si>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</si>
  <si>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</si>
  <si>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</si>
  <si>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</si>
  <si>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</si>
  <si>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</si>
  <si>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</si>
  <si>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</si>
  <si>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</si>
  <si>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</si>
  <si>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</si>
  <si>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</si>
  <si>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</si>
  <si>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</si>
  <si>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</si>
  <si>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</si>
  <si>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</si>
  <si>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</si>
  <si>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</si>
  <si>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</si>
  <si>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</si>
  <si>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</si>
  <si>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</si>
  <si>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</si>
  <si>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</si>
  <si>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</si>
  <si>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</si>
  <si>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</si>
  <si>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</si>
  <si>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</si>
  <si>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</si>
  <si>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</si>
  <si>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</si>
  <si>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</si>
  <si>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</si>
  <si>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</si>
  <si>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</si>
  <si>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</si>
  <si>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</si>
  <si>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</si>
  <si>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</si>
  <si>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</si>
  <si>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</si>
  <si>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</si>
  <si>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</si>
  <si>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</si>
  <si>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</si>
  <si>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</si>
  <si>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</si>
  <si>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</si>
  <si>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</si>
  <si>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</si>
  <si>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</si>
  <si>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</si>
  <si>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</si>
  <si>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</si>
  <si>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</si>
  <si>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</si>
  <si>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</si>
  <si>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</si>
  <si>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</si>
  <si>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</si>
  <si>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</si>
  <si>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</si>
  <si>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</si>
  <si>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</si>
  <si>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</si>
  <si>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</si>
  <si>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</si>
  <si>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</si>
  <si>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</si>
  <si>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</si>
  <si>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</si>
  <si>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</si>
  <si>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</si>
  <si>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</si>
  <si>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</si>
  <si>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</si>
  <si>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</si>
  <si>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</si>
  <si>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</si>
  <si>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</si>
  <si>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</si>
  <si>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</si>
  <si>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</si>
  <si>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</si>
  <si>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</si>
  <si>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</si>
  <si>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</si>
  <si>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</si>
  <si>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</si>
  <si>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</si>
  <si>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</si>
  <si>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</si>
  <si>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</si>
  <si>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</si>
  <si>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</si>
  <si>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</si>
  <si>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</si>
  <si>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</si>
  <si>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</si>
  <si>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</si>
  <si>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</si>
  <si>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</si>
  <si>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</si>
  <si>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</si>
  <si>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</si>
  <si>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</si>
  <si>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</si>
  <si>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</si>
  <si>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</si>
  <si>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</si>
  <si>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</si>
  <si>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</si>
  <si>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</si>
  <si>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</si>
  <si>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</si>
  <si>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</si>
  <si>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</si>
  <si>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</si>
  <si>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</si>
  <si>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</si>
  <si>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</si>
  <si>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</si>
  <si>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</si>
  <si>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</si>
  <si>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</si>
  <si>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</si>
  <si>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</si>
  <si>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</si>
  <si>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</si>
  <si>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</si>
  <si>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</si>
  <si>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</si>
  <si>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</si>
  <si>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</si>
  <si>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</si>
  <si>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</si>
  <si>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</si>
  <si>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</si>
  <si>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</si>
  <si>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</si>
  <si>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</si>
  <si>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</si>
  <si>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</si>
  <si>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</si>
  <si>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</si>
  <si>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</si>
  <si>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</si>
  <si>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</si>
  <si>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</si>
  <si>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</si>
  <si>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</si>
  <si>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</si>
  <si>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</si>
  <si>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</si>
  <si>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</si>
  <si>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</si>
  <si>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</si>
  <si>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</si>
  <si>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</si>
  <si>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</si>
  <si>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</si>
  <si>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</si>
  <si>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</si>
  <si>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</si>
  <si>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</si>
  <si>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</si>
  <si>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</si>
  <si>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</si>
  <si>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</si>
  <si>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</si>
  <si>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</si>
  <si>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</si>
  <si>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</si>
  <si>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</si>
  <si>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</si>
  <si>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</si>
  <si>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</si>
  <si>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</si>
  <si>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</si>
  <si>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</si>
  <si>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</si>
  <si>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</si>
  <si>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</si>
  <si>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</si>
  <si>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</si>
  <si>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</si>
  <si>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</si>
  <si>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</si>
  <si>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</si>
  <si>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</si>
  <si>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</si>
  <si>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</si>
  <si>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</si>
  <si>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</si>
  <si>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</si>
  <si>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</si>
  <si>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</si>
  <si>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</si>
  <si>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</si>
  <si>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</si>
  <si>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</si>
  <si>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</si>
  <si>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</si>
  <si>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</si>
  <si>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</si>
  <si>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</si>
  <si>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</si>
  <si>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</si>
  <si>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</si>
  <si>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</si>
  <si>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</si>
  <si>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</si>
  <si>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</si>
  <si>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</si>
  <si>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</si>
  <si>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</si>
  <si>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</si>
  <si>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</si>
  <si>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</si>
  <si>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</si>
  <si>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</si>
  <si>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</si>
  <si>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</si>
  <si>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</si>
  <si>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</si>
  <si>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</si>
  <si>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</si>
  <si>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</si>
  <si>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</si>
  <si>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</si>
  <si>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</si>
  <si>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</si>
  <si>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</si>
  <si>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</si>
  <si>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</si>
  <si>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</si>
  <si>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</si>
  <si>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</si>
  <si>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</si>
  <si>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</si>
  <si>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</si>
  <si>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</si>
  <si>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</si>
  <si>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</si>
  <si>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</si>
  <si>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</si>
  <si>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</si>
  <si>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</si>
  <si>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</si>
  <si>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</si>
  <si>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</si>
  <si>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</si>
  <si>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</si>
  <si>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</si>
  <si>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</si>
  <si>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</si>
  <si>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</si>
  <si>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</si>
  <si>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</si>
  <si>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</si>
  <si>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</si>
  <si>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</si>
  <si>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</si>
  <si>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</si>
  <si>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</si>
  <si>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</si>
  <si>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</si>
  <si>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</si>
  <si>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</si>
  <si>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</si>
  <si>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</si>
  <si>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</si>
  <si>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</si>
  <si>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</si>
  <si>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</si>
  <si>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</si>
  <si>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</si>
  <si>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</si>
  <si>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</si>
  <si>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</si>
  <si>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</si>
  <si>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</si>
  <si>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</si>
  <si>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</si>
  <si>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</si>
  <si>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</si>
  <si>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</si>
  <si>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</si>
  <si>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</si>
  <si>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</si>
  <si>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</si>
  <si>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</si>
  <si>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</si>
  <si>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</si>
  <si>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</si>
  <si>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</si>
  <si>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</si>
  <si>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</si>
  <si>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</si>
  <si>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</si>
  <si>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</si>
  <si>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</si>
  <si>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</si>
  <si>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</si>
  <si>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</si>
  <si>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</si>
  <si>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</si>
  <si>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</si>
  <si>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</si>
  <si>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</si>
  <si>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</si>
  <si>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</si>
  <si>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</si>
  <si>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</si>
  <si>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</si>
  <si>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</si>
  <si>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</si>
  <si>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</si>
  <si>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</si>
  <si>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</si>
  <si>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</si>
  <si>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</si>
  <si>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</si>
  <si>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</si>
  <si>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</si>
  <si>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</si>
  <si>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</si>
  <si>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</si>
  <si>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</si>
  <si>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</si>
  <si>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</si>
  <si>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</si>
  <si>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</si>
  <si>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</si>
  <si>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</si>
  <si>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</si>
  <si>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</si>
  <si>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</si>
  <si>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</si>
  <si>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</si>
  <si>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</si>
  <si>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</si>
  <si>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</si>
  <si>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</si>
  <si>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</si>
  <si>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</si>
  <si>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</si>
  <si>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</si>
  <si>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</si>
  <si>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</si>
  <si>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</si>
  <si>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</si>
  <si>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</si>
  <si>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</si>
  <si>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</si>
  <si>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</si>
  <si>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</si>
  <si>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</si>
  <si>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</si>
  <si>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</si>
  <si>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</si>
  <si>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</si>
  <si>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</si>
  <si>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</si>
  <si>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</si>
  <si>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</si>
  <si>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</si>
  <si>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</si>
  <si>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</si>
  <si>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</si>
  <si>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</si>
  <si>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</si>
  <si>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</si>
  <si>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</si>
  <si>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</si>
  <si>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</si>
  <si>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</si>
  <si>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</si>
  <si>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</si>
  <si>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</si>
  <si>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</si>
  <si>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</si>
  <si>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</si>
  <si>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</si>
  <si>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</si>
  <si>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</si>
  <si>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</si>
  <si>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</si>
  <si>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</si>
  <si>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</si>
  <si>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</si>
  <si>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</si>
  <si>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</si>
  <si>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</si>
  <si>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</si>
  <si>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</si>
  <si>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</si>
  <si>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</si>
  <si>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</si>
  <si>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</si>
  <si>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</si>
  <si>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</si>
  <si>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</si>
  <si>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</si>
  <si>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</si>
  <si>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</si>
  <si>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</si>
  <si>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</si>
  <si>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</si>
  <si>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</si>
  <si>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</si>
  <si>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</si>
  <si>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</si>
  <si>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</si>
  <si>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</si>
  <si>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</si>
  <si>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</si>
  <si>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</si>
  <si>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</si>
  <si>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</si>
  <si>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</si>
  <si>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</si>
  <si>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</si>
  <si>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</si>
  <si>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</si>
  <si>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</si>
  <si>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</si>
  <si>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</si>
  <si>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</si>
  <si>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</si>
  <si>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</si>
  <si>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</si>
  <si>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</si>
  <si>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</si>
  <si>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</si>
  <si>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</si>
  <si>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</si>
  <si>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</si>
  <si>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</si>
  <si>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</si>
  <si>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</si>
  <si>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</si>
  <si>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</si>
  <si>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</si>
  <si>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</si>
  <si>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</si>
  <si>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</si>
  <si>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</si>
  <si>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</si>
  <si>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</si>
  <si>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</si>
  <si>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</si>
  <si>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</si>
  <si>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</si>
  <si>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</si>
  <si>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</si>
  <si>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</si>
  <si>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</si>
  <si>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</si>
  <si>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</si>
  <si>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</si>
  <si>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</si>
  <si>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</si>
  <si>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</si>
  <si>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</si>
  <si>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</si>
  <si>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</si>
  <si>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</si>
  <si>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</si>
  <si>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</si>
  <si>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</si>
  <si>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</si>
  <si>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</si>
  <si>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</si>
  <si>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</si>
  <si>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</si>
  <si>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</si>
  <si>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</si>
  <si>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</si>
  <si>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</si>
  <si>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</si>
  <si>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</si>
  <si>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</si>
  <si>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</si>
  <si>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</si>
  <si>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</si>
  <si>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</si>
  <si>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</si>
  <si>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</si>
  <si>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</si>
  <si>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</si>
  <si>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</si>
  <si>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</si>
  <si>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</si>
  <si>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</si>
  <si>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</si>
  <si>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</si>
  <si>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</si>
  <si>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</si>
  <si>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</si>
  <si>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</si>
  <si>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</si>
  <si>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</si>
  <si>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</si>
  <si>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</si>
  <si>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</si>
  <si>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</si>
  <si>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</si>
  <si>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</si>
  <si>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</si>
  <si>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</si>
  <si>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</si>
  <si>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</si>
  <si>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</si>
  <si>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</si>
  <si>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</si>
  <si>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</si>
  <si>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</si>
  <si>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</si>
  <si>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</si>
  <si>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</si>
  <si>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</si>
  <si>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</si>
  <si>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</si>
  <si>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</si>
  <si>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</si>
  <si>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</si>
  <si>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</si>
  <si>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</si>
  <si>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</si>
  <si>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</si>
  <si>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</si>
  <si>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</si>
  <si>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</si>
  <si>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</si>
  <si>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</si>
  <si>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</si>
  <si>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</si>
  <si>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</si>
  <si>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</si>
  <si>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</si>
  <si>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</si>
  <si>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</si>
  <si>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</si>
  <si>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</si>
  <si>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</si>
  <si>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</si>
  <si>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</si>
  <si>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</si>
  <si>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</si>
  <si>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</si>
  <si>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</si>
  <si>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</si>
  <si>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</si>
  <si>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</si>
  <si>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</si>
  <si>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</si>
  <si>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</si>
  <si>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</si>
  <si>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</si>
  <si>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</si>
  <si>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</si>
  <si>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</si>
  <si>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</si>
  <si>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</si>
  <si>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</si>
  <si>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</si>
  <si>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LAAC, LP</t>
  </si>
  <si>
    <t>LAAC Apartments</t>
  </si>
  <si>
    <t>40%/60%</t>
  </si>
  <si>
    <t>7250 Redwood Boulevard, Suite 214</t>
  </si>
  <si>
    <t>Novato</t>
  </si>
  <si>
    <t>CA</t>
  </si>
  <si>
    <t>Justin Solomon</t>
  </si>
  <si>
    <t>(415) 609-5352</t>
  </si>
  <si>
    <t>jsolomon@d-h-i.net</t>
  </si>
  <si>
    <t>Managing GP</t>
  </si>
  <si>
    <t>Administrative GP</t>
  </si>
  <si>
    <t>LAAC Associates, LLC</t>
  </si>
  <si>
    <t>Dawson Holdings, Inc.</t>
  </si>
  <si>
    <t>7250 Redwood Blvd, Suite 214</t>
  </si>
  <si>
    <t>Novato, CA  94945</t>
  </si>
  <si>
    <t>Carle, Mackie, Power &amp; Ross LLP</t>
  </si>
  <si>
    <t>100 B Street, Suite 400</t>
  </si>
  <si>
    <t>Santa Rosa, CA  95401</t>
  </si>
  <si>
    <t>Jason Vargelis</t>
  </si>
  <si>
    <t>(707) 526-4200</t>
  </si>
  <si>
    <t>(707) 526-4707</t>
  </si>
  <si>
    <t>jvargelis@cmprlaw.com</t>
  </si>
  <si>
    <t>Bowman &amp; Company, LLP</t>
  </si>
  <si>
    <t>10100 Trinity Parkway, Suite 310</t>
  </si>
  <si>
    <t>Stockton, CA 95219-7240</t>
  </si>
  <si>
    <t>Tobbie Wells</t>
  </si>
  <si>
    <t>(209) 473-1040</t>
  </si>
  <si>
    <t>(209) 473-9771</t>
  </si>
  <si>
    <t>twells@cpabowman.com</t>
  </si>
  <si>
    <t>Kinetic Valuation Group</t>
  </si>
  <si>
    <t>3901 South 147th Street, Suite 144</t>
  </si>
  <si>
    <t>Omaha, NE 68144</t>
  </si>
  <si>
    <t>Jay Wortmann</t>
  </si>
  <si>
    <t>(402) 202-0771</t>
  </si>
  <si>
    <t>jay@kvgteam.com</t>
  </si>
  <si>
    <t>Real Property Reporting Services</t>
  </si>
  <si>
    <t>1132 Lincoln Way, Suite 2</t>
  </si>
  <si>
    <t>Auburn, CA  95603</t>
  </si>
  <si>
    <t>Tracy Hanson</t>
  </si>
  <si>
    <t>(916) 802-8844</t>
  </si>
  <si>
    <t>rpsinc@gmail.com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</si>
  <si>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</si>
  <si>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</si>
  <si>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</si>
  <si>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</si>
  <si>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</si>
  <si>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</si>
  <si>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</si>
  <si>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</si>
  <si>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</si>
  <si>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</si>
  <si>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</si>
  <si>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</si>
  <si>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</si>
  <si>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</si>
  <si>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</si>
  <si>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</si>
  <si>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cbannister@r4cap.com</t>
  </si>
  <si>
    <t>AWI Management Corporation</t>
  </si>
  <si>
    <t>120 Center Street</t>
  </si>
  <si>
    <t>Linda Frazier</t>
  </si>
  <si>
    <t>(530) 745-6255</t>
  </si>
  <si>
    <t>(530) 745-6171</t>
  </si>
  <si>
    <t>lfrazier@awimc.com</t>
  </si>
  <si>
    <t>Multifamily apartments</t>
  </si>
  <si>
    <t>S&amp;J Limited #2</t>
  </si>
  <si>
    <t>James Sonne</t>
  </si>
  <si>
    <t>Lisa Sonne &amp; James Sonne</t>
  </si>
  <si>
    <t>30473 Mulholland Hwy, Agoura, CA</t>
  </si>
  <si>
    <t>(818) 917 7137</t>
  </si>
  <si>
    <t>General Partner</t>
  </si>
  <si>
    <t>Trustee</t>
  </si>
  <si>
    <t>Lisa Sonne</t>
  </si>
  <si>
    <t>1111 Fairview Ave, South Pasadena, CA</t>
  </si>
  <si>
    <t>Detached 2/3/4 Family</t>
  </si>
  <si>
    <t>HUD HAP MU2M &amp; Assignment</t>
  </si>
  <si>
    <t>East West Bank</t>
  </si>
  <si>
    <t>Cash Flow from Operations</t>
  </si>
  <si>
    <t>Fixed</t>
  </si>
  <si>
    <t>R4 Capital, LLC - Federal TC</t>
  </si>
  <si>
    <t>R4 Capital, LLC - State TC</t>
  </si>
  <si>
    <t>G.P. Construction Loan</t>
  </si>
  <si>
    <t>Tax Credit Equity</t>
  </si>
  <si>
    <t>4790 Freeport Boulevard</t>
  </si>
  <si>
    <t>John Chan</t>
  </si>
  <si>
    <t>(916) 212-2588</t>
  </si>
  <si>
    <t>Construction Loan</t>
  </si>
  <si>
    <t>Newport Beach</t>
  </si>
  <si>
    <t>Deferred Developer Fee</t>
  </si>
  <si>
    <t>Cash Flow From Operations</t>
  </si>
  <si>
    <t>Permanent Loan</t>
  </si>
  <si>
    <t>GP Permanent Loan</t>
  </si>
  <si>
    <t>Office Supplies, Telephone, Postage</t>
  </si>
  <si>
    <t>Other: P&amp;P Bonds</t>
  </si>
  <si>
    <t>Other: Sponsor &amp; Organizational Legal</t>
  </si>
  <si>
    <t>Other:  Security Cameras, Wifi, WDO</t>
  </si>
  <si>
    <t>Other:  MGP Fees</t>
  </si>
  <si>
    <t>2 bedroom</t>
  </si>
  <si>
    <t>3 bedroom</t>
  </si>
  <si>
    <t>City of LA</t>
  </si>
  <si>
    <t>Timothy Elliott</t>
  </si>
  <si>
    <t>Community Housing Program</t>
  </si>
  <si>
    <t>1200 W. 7th Street</t>
  </si>
  <si>
    <t>213-808-8596</t>
  </si>
  <si>
    <t>213-808-8910</t>
  </si>
  <si>
    <t>timothy.elliott@lacity.org</t>
  </si>
  <si>
    <t>6451 Box Springs Blvd</t>
  </si>
  <si>
    <t>William Leach</t>
  </si>
  <si>
    <t>wiliam@kingdomdevelopment.net</t>
  </si>
  <si>
    <t>61-99 years</t>
  </si>
  <si>
    <t>RD1.5-1, R2-1, RD2-1</t>
  </si>
  <si>
    <t>4517-4519 S Normandie Avenue 90037, 245 &amp; 249 W 64th Street 90003,</t>
  </si>
  <si>
    <t>679 &amp; 689 E 41st Street 90011, 900 E 28th Street 90011, 6320-6324 S Broadway 90003, 235 W 47th Street 90037</t>
  </si>
  <si>
    <t>2322.00,2397.01,2283.10,2283.20,2393.10,2319.02</t>
  </si>
  <si>
    <t>5128-022-016,5114-007-029,030,5110-008-033,5016-010-003,6005-022-018,022,017</t>
  </si>
  <si>
    <t>Barker Management</t>
  </si>
  <si>
    <t>Metro</t>
  </si>
  <si>
    <t>Adams/Griffith</t>
  </si>
  <si>
    <t xml:space="preserve">Manager </t>
  </si>
  <si>
    <t>Grand Avenue Library</t>
  </si>
  <si>
    <t xml:space="preserve">3434 S Grand Ave </t>
  </si>
  <si>
    <t>Manager</t>
  </si>
  <si>
    <t>323-466-3876</t>
  </si>
  <si>
    <t>213-821-2045</t>
  </si>
  <si>
    <t>https://www.metro.net/about/contacts/</t>
  </si>
  <si>
    <t>.14 miles</t>
  </si>
  <si>
    <t>https://libraries.usc.edu/locations/grand-avenue-library</t>
  </si>
  <si>
    <t>.97 miles</t>
  </si>
  <si>
    <t>Superior Grocers</t>
  </si>
  <si>
    <t>2000 S Central Ave</t>
  </si>
  <si>
    <t>Loas Angeles</t>
  </si>
  <si>
    <t>Thomas Jefferson High School</t>
  </si>
  <si>
    <t xml:space="preserve">1319 E 41 st </t>
  </si>
  <si>
    <t>Tamai Johnson</t>
  </si>
  <si>
    <t>323-750-1575</t>
  </si>
  <si>
    <t>213-241-1000</t>
  </si>
  <si>
    <t>https://superiorgrocers.com/location/central-ave/?y_source=1_MTczNzIwODQtNzE1LWxvY2F0aW9uLndlYnNpdGU%3D</t>
  </si>
  <si>
    <t>https://jefferson-lausd-ca.schoolloop.com/</t>
  </si>
  <si>
    <t>.72 miles</t>
  </si>
  <si>
    <t xml:space="preserve">Universal Community Health Center </t>
  </si>
  <si>
    <t>2098 S Central Ave</t>
  </si>
  <si>
    <t>323-233-3100</t>
  </si>
  <si>
    <t>https://www.uchcla.org/</t>
  </si>
  <si>
    <t>.48 miles</t>
  </si>
  <si>
    <t>CVS Pharmacy y Mas</t>
  </si>
  <si>
    <t>1025 E Adams Blvd 1st floor</t>
  </si>
  <si>
    <t>https://www.cvs.com/store-locator/los-angeles-ca-pharmacies/1025-e-adams-blvd-1st-floor-los-angeles-ca-90011/storeid=10915?WT.mc_id=LS_GOOGLE_FS_10915</t>
  </si>
  <si>
    <t>.19 miles</t>
  </si>
  <si>
    <t>All Peoples Community Center</t>
  </si>
  <si>
    <t>3434 S Grand Ave</t>
  </si>
  <si>
    <t>https://allpeoplescc.org/contact/</t>
  </si>
  <si>
    <t>.54 miles</t>
  </si>
  <si>
    <t>Kingdom Development, Inc.</t>
  </si>
  <si>
    <t>951-538-6244</t>
  </si>
  <si>
    <t>1 to 2</t>
  </si>
  <si>
    <t>560-572</t>
  </si>
  <si>
    <t>585-884</t>
  </si>
  <si>
    <t>HAP Contract</t>
  </si>
  <si>
    <t>Project-based vouchers (PBVs)</t>
  </si>
  <si>
    <t>Deferred Fees &amp; Costs</t>
  </si>
  <si>
    <t>Other: Lender Inspections</t>
  </si>
  <si>
    <t>DHI Guarantor, LLC</t>
  </si>
  <si>
    <t>HAP</t>
  </si>
  <si>
    <t>Janitorial supplies</t>
  </si>
  <si>
    <t>1 bedroom</t>
  </si>
  <si>
    <t>April</t>
  </si>
  <si>
    <t>Petaluma</t>
  </si>
  <si>
    <t>Acquisition &amp; Development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</si>
</sst>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b/>
      <sz val="11"/>
      <color rgb="FF000000"/>
      <name val="Calibri"/>
      <family val="2"/>
    </font>
    <font>
      <sz val="11"/>
      <color rgb="FF000000"/>
      <name val="Calibri"/>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38" fontId="140" fillId="0" borderId="0" xfId="0" applyNumberFormat="1" applyFont="1" applyAlignment="1">
      <alignment horizontal="center" vertical="center"/>
    </xf>
    <xf numFmtId="38" fontId="141" fillId="0" borderId="5" xfId="0" applyNumberFormat="1" applyFont="1" applyBorder="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7"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 fontId="11" fillId="7"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6">
    <dxf>
      <font>
        <condense val="0"/>
        <extend val="0"/>
        <color indexed="10"/>
      </font>
    </dxf>
    <dxf>
      <font>
        <condense val="0"/>
        <extend val="0"/>
        <color indexed="10"/>
      </font>
    </dxf>
    <dxf>
      <font>
        <b/>
        <i val="0"/>
        <color auto="1"/>
      </font>
      <fill>
        <patternFill>
          <bgColor rgb="FFCCFFCC"/>
        </patternFill>
      </fill>
    </dxf>
    <dxf>
      <font>
        <b/>
        <i val="0"/>
        <color auto="1"/>
      </font>
      <fill>
        <patternFill>
          <bgColor rgb="FFFFCCCC"/>
        </patternFill>
      </fill>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7" sqref="E27:AK27"/>
    </sheetView>
  </sheetViews>
  <sheetFormatPr defaultColWidth="0" defaultRowHeight="12.75" zeroHeight="1"/>
  <cols>
    <col min="1" max="38" width="2.42578125" customWidth="1"/>
    <col min="39" max="16384" width="8.85546875" hidden="1"/>
  </cols>
  <sheetData>
    <row r="1" spans="1:38">
      <c r="A1" s="982" t="s">
        <v>1961</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2352</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1190</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2" t="s">
        <v>1761</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1"/>
      <c r="K46" s="671"/>
      <c r="L46" s="671"/>
      <c r="M46" s="671"/>
      <c r="N46" s="671"/>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1764</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1763</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1765</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1766</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1780</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1781</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1767</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1768</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2" t="s">
        <v>1773</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1774</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1775</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1776</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1777</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1778</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2"/>
      <c r="E112" s="980" t="s">
        <v>1779</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2"/>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3"/>
      <c r="C114" s="672"/>
      <c r="D114" s="672"/>
      <c r="E114" s="673"/>
      <c r="F114" s="672"/>
      <c r="G114" s="672"/>
      <c r="H114" s="672"/>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2" t="s">
        <v>1963</v>
      </c>
      <c r="G132" s="672"/>
    </row>
    <row r="133" spans="2:14">
      <c r="G133" s="672"/>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1782</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2" t="s">
        <v>1783</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2292</v>
      </c>
    </row>
    <row r="162" spans="3:9">
      <c r="E162" s="768"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2" t="s">
        <v>1784</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260</v>
      </c>
      <c r="G235" s="5"/>
      <c r="H235" s="5"/>
      <c r="I235" s="5"/>
      <c r="M235" s="5"/>
      <c r="N235" s="5"/>
      <c r="O235" s="5"/>
      <c r="P235" s="5"/>
      <c r="Q235" s="5"/>
      <c r="R235" s="5"/>
      <c r="S235" s="5"/>
    </row>
    <row r="236" spans="1:38">
      <c r="B236" s="5"/>
      <c r="C236" s="5"/>
      <c r="F236" s="5" t="s">
        <v>861</v>
      </c>
      <c r="G236" s="972" t="s">
        <v>1786</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4" t="s">
        <v>1098</v>
      </c>
      <c r="G286" s="5"/>
      <c r="H286" s="674"/>
      <c r="I286" s="674"/>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5"/>
      <c r="C319" s="43"/>
      <c r="D319" s="675" t="s">
        <v>890</v>
      </c>
      <c r="E319" s="675"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2" t="s">
        <v>1900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944</v>
      </c>
      <c r="F352" s="972" t="s">
        <v>1901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8" customFormat="1">
      <c r="A365"/>
      <c r="B365" s="3"/>
      <c r="C365"/>
      <c r="D365"/>
      <c r="E365" s="978" t="s">
        <v>1896</v>
      </c>
    </row>
    <row r="366" spans="1:38" s="978" customFormat="1">
      <c r="A366"/>
      <c r="B366" s="3"/>
      <c r="C366"/>
      <c r="D366"/>
    </row>
    <row r="367" spans="1:38">
      <c r="B367" s="3"/>
      <c r="F367" s="976" t="s">
        <v>1897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6"/>
      <c r="J378" s="5"/>
      <c r="K378" s="5"/>
      <c r="L378" s="5"/>
      <c r="M378" s="5"/>
      <c r="N378" s="5"/>
      <c r="O378" s="5"/>
      <c r="P378" s="5"/>
      <c r="Q378" s="5"/>
      <c r="R378" s="5"/>
      <c r="S378" s="5"/>
    </row>
    <row r="379" spans="2:19">
      <c r="B379" s="3"/>
      <c r="E379" s="5"/>
      <c r="F379" s="5" t="s">
        <v>1076</v>
      </c>
      <c r="G379" s="5"/>
      <c r="I379" s="676"/>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6"/>
      <c r="J389" s="5"/>
      <c r="K389" s="5"/>
      <c r="L389" s="5"/>
      <c r="M389" s="5"/>
      <c r="N389" s="5"/>
      <c r="O389" s="5"/>
      <c r="P389" s="5"/>
      <c r="Q389" s="5"/>
      <c r="R389" s="5"/>
      <c r="S389" s="5"/>
    </row>
    <row r="390" spans="1:38">
      <c r="B390" s="3"/>
      <c r="E390" s="5"/>
      <c r="F390" s="5" t="s">
        <v>1077</v>
      </c>
      <c r="G390" s="5"/>
      <c r="I390" s="676"/>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20"/>
  <sheetViews>
    <sheetView showGridLines="0" topLeftCell="A85" zoomScale="85" zoomScaleNormal="85" workbookViewId="0">
      <selection activeCell="Q98" sqref="Q98"/>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0" width="8.85546875" style="365" customWidth="1"/>
    <col min="21" max="16384" width="8.85546875" style="365" hidden="1"/>
  </cols>
  <sheetData>
    <row r="1" spans="1:19" ht="15" customHeight="1">
      <c r="A1" s="1935" t="s">
        <v>1953</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20"/>
      <c r="B3" s="520"/>
      <c r="C3" s="520"/>
      <c r="D3" s="520"/>
      <c r="E3" s="520"/>
      <c r="F3" s="520"/>
      <c r="G3" s="520"/>
      <c r="H3" s="520"/>
      <c r="I3" s="520"/>
      <c r="J3" s="520"/>
      <c r="K3" s="520"/>
      <c r="L3" s="520"/>
      <c r="M3" s="520"/>
      <c r="N3" s="520"/>
      <c r="O3" s="520"/>
      <c r="P3" s="520"/>
      <c r="Q3" s="520"/>
      <c r="R3" s="520"/>
    </row>
    <row r="4" spans="1:19" ht="15" customHeight="1">
      <c r="A4" s="520"/>
      <c r="B4" s="1921" t="s">
        <v>2247</v>
      </c>
      <c r="C4" s="1921"/>
      <c r="D4" s="1921"/>
      <c r="E4" s="1921"/>
      <c r="F4" s="1921"/>
      <c r="G4" s="1921"/>
      <c r="H4" s="1921"/>
      <c r="I4" s="1921"/>
      <c r="J4" s="1921"/>
      <c r="K4" s="1921"/>
      <c r="L4" s="1921"/>
      <c r="M4" s="1921"/>
      <c r="N4" s="1921"/>
      <c r="O4" s="1921"/>
      <c r="P4" s="1921"/>
      <c r="Q4" s="1921"/>
      <c r="R4" s="1921"/>
    </row>
    <row r="5" spans="1:19" ht="15" customHeight="1">
      <c r="A5" s="520"/>
      <c r="B5" s="1921"/>
      <c r="C5" s="1921"/>
      <c r="D5" s="1921"/>
      <c r="E5" s="1921"/>
      <c r="F5" s="1921"/>
      <c r="G5" s="1921"/>
      <c r="H5" s="1921"/>
      <c r="I5" s="1921"/>
      <c r="J5" s="1921"/>
      <c r="K5" s="1921"/>
      <c r="L5" s="1921"/>
      <c r="M5" s="1921"/>
      <c r="N5" s="1921"/>
      <c r="O5" s="1921"/>
      <c r="P5" s="1921"/>
      <c r="Q5" s="1921"/>
      <c r="R5" s="1921"/>
    </row>
    <row r="6" spans="1:19" ht="15" customHeight="1">
      <c r="A6" s="520"/>
      <c r="B6" s="1921"/>
      <c r="C6" s="1921"/>
      <c r="D6" s="1921"/>
      <c r="E6" s="1921"/>
      <c r="F6" s="1921"/>
      <c r="G6" s="1921"/>
      <c r="H6" s="1921"/>
      <c r="I6" s="1921"/>
      <c r="J6" s="1921"/>
      <c r="K6" s="1921"/>
      <c r="L6" s="1921"/>
      <c r="M6" s="1921"/>
      <c r="N6" s="1921"/>
      <c r="O6" s="1921"/>
      <c r="P6" s="1921"/>
      <c r="Q6" s="1921"/>
      <c r="R6" s="1921"/>
    </row>
    <row r="7" spans="1:19" ht="15" customHeight="1">
      <c r="A7" s="520"/>
      <c r="B7" s="662"/>
      <c r="C7" s="662"/>
      <c r="D7" s="662"/>
      <c r="E7" s="662"/>
      <c r="F7" s="662"/>
      <c r="G7" s="662"/>
      <c r="H7" s="662"/>
      <c r="I7" s="662"/>
      <c r="J7" s="662"/>
      <c r="K7" s="662"/>
      <c r="L7" s="662"/>
      <c r="M7" s="662"/>
      <c r="N7" s="662"/>
      <c r="O7" s="662"/>
      <c r="P7" s="662"/>
      <c r="Q7" s="662"/>
      <c r="R7" s="662"/>
    </row>
    <row r="8" spans="1:19" ht="15" customHeight="1">
      <c r="A8" s="520"/>
      <c r="B8" s="1921" t="s">
        <v>1770</v>
      </c>
      <c r="C8" s="1921"/>
      <c r="D8" s="1921"/>
      <c r="E8" s="1921"/>
      <c r="F8" s="1921"/>
      <c r="G8" s="1921"/>
      <c r="H8" s="1921"/>
      <c r="I8" s="1921"/>
      <c r="J8" s="1921"/>
      <c r="K8" s="1921"/>
      <c r="L8" s="1921"/>
      <c r="M8" s="1921"/>
      <c r="N8" s="1921"/>
      <c r="O8" s="1921"/>
      <c r="P8" s="1921"/>
      <c r="Q8" s="1921"/>
      <c r="R8" s="1921"/>
    </row>
    <row r="9" spans="1:19" ht="15" customHeight="1">
      <c r="A9" s="520"/>
      <c r="B9" s="387"/>
      <c r="C9" s="520"/>
      <c r="D9" s="520"/>
      <c r="E9" s="520"/>
      <c r="F9" s="520"/>
      <c r="G9" s="520"/>
      <c r="H9" s="520"/>
      <c r="I9" s="520"/>
      <c r="J9" s="520"/>
      <c r="K9" s="520"/>
      <c r="L9" s="520"/>
      <c r="M9" s="520"/>
      <c r="N9" s="520"/>
      <c r="O9" s="520"/>
      <c r="P9" s="520"/>
      <c r="Q9" s="520"/>
      <c r="R9" s="520"/>
    </row>
    <row r="10" spans="1:19" ht="15" customHeight="1">
      <c r="A10" s="520"/>
      <c r="B10" s="1921" t="s">
        <v>2337</v>
      </c>
      <c r="C10" s="1921"/>
      <c r="D10" s="1921"/>
      <c r="E10" s="1921"/>
      <c r="F10" s="1921"/>
      <c r="G10" s="1921"/>
      <c r="H10" s="1921"/>
      <c r="I10" s="1921"/>
      <c r="J10" s="1921"/>
      <c r="K10" s="1921"/>
      <c r="L10" s="1921"/>
      <c r="M10" s="1921"/>
      <c r="N10" s="1921"/>
      <c r="O10" s="1921"/>
      <c r="P10" s="1921"/>
      <c r="Q10" s="1921"/>
      <c r="R10" s="1921"/>
    </row>
    <row r="11" spans="1:19" ht="29.25" customHeight="1">
      <c r="A11" s="520"/>
      <c r="B11" s="1921"/>
      <c r="C11" s="1921"/>
      <c r="D11" s="1921"/>
      <c r="E11" s="1921"/>
      <c r="F11" s="1921"/>
      <c r="G11" s="1921"/>
      <c r="H11" s="1921"/>
      <c r="I11" s="1921"/>
      <c r="J11" s="1921"/>
      <c r="K11" s="1921"/>
      <c r="L11" s="1921"/>
      <c r="M11" s="1921"/>
      <c r="N11" s="1921"/>
      <c r="O11" s="1921"/>
      <c r="P11" s="1921"/>
      <c r="Q11" s="1921"/>
      <c r="R11" s="1921"/>
    </row>
    <row r="12" spans="1:19" ht="15" customHeight="1">
      <c r="A12" s="520"/>
      <c r="B12" s="662"/>
      <c r="C12" s="662"/>
      <c r="D12" s="662"/>
      <c r="E12" s="662"/>
      <c r="F12" s="662"/>
      <c r="G12" s="662"/>
      <c r="H12" s="662"/>
      <c r="I12" s="662"/>
      <c r="J12" s="662"/>
      <c r="K12" s="662"/>
      <c r="L12" s="662"/>
      <c r="M12" s="662"/>
      <c r="N12" s="662"/>
      <c r="O12" s="662"/>
      <c r="P12" s="662"/>
      <c r="Q12" s="662"/>
      <c r="R12" s="662"/>
    </row>
    <row r="13" spans="1:19" ht="15" customHeight="1">
      <c r="A13" s="520"/>
      <c r="B13" s="1921" t="s">
        <v>2248</v>
      </c>
      <c r="C13" s="1921"/>
      <c r="D13" s="1921"/>
      <c r="E13" s="1921"/>
      <c r="F13" s="1921"/>
      <c r="G13" s="1921"/>
      <c r="H13" s="1921"/>
      <c r="I13" s="1921"/>
      <c r="J13" s="1921"/>
      <c r="K13" s="1921"/>
      <c r="L13" s="1921"/>
      <c r="M13" s="1921"/>
      <c r="N13" s="1921"/>
      <c r="O13" s="1921"/>
      <c r="P13" s="1921"/>
      <c r="Q13" s="1921"/>
      <c r="R13" s="1921"/>
    </row>
    <row r="14" spans="1:19" ht="15" customHeight="1">
      <c r="A14" s="520"/>
      <c r="B14" s="1921"/>
      <c r="C14" s="1921"/>
      <c r="D14" s="1921"/>
      <c r="E14" s="1921"/>
      <c r="F14" s="1921"/>
      <c r="G14" s="1921"/>
      <c r="H14" s="1921"/>
      <c r="I14" s="1921"/>
      <c r="J14" s="1921"/>
      <c r="K14" s="1921"/>
      <c r="L14" s="1921"/>
      <c r="M14" s="1921"/>
      <c r="N14" s="1921"/>
      <c r="O14" s="1921"/>
      <c r="P14" s="1921"/>
      <c r="Q14" s="1921"/>
      <c r="R14" s="1921"/>
    </row>
    <row r="15" spans="1:19" ht="15" customHeight="1">
      <c r="A15" s="520"/>
      <c r="B15" s="1921"/>
      <c r="C15" s="1921"/>
      <c r="D15" s="1921"/>
      <c r="E15" s="1921"/>
      <c r="F15" s="1921"/>
      <c r="G15" s="1921"/>
      <c r="H15" s="1921"/>
      <c r="I15" s="1921"/>
      <c r="J15" s="1921"/>
      <c r="K15" s="1921"/>
      <c r="L15" s="1921"/>
      <c r="M15" s="1921"/>
      <c r="N15" s="1921"/>
      <c r="O15" s="1921"/>
      <c r="P15" s="1921"/>
      <c r="Q15" s="1921"/>
      <c r="R15" s="1921"/>
    </row>
    <row r="16" spans="1:19" ht="15" customHeight="1">
      <c r="A16" s="520"/>
      <c r="B16" s="1921"/>
      <c r="C16" s="1921"/>
      <c r="D16" s="1921"/>
      <c r="E16" s="1921"/>
      <c r="F16" s="1921"/>
      <c r="G16" s="1921"/>
      <c r="H16" s="1921"/>
      <c r="I16" s="1921"/>
      <c r="J16" s="1921"/>
      <c r="K16" s="1921"/>
      <c r="L16" s="1921"/>
      <c r="M16" s="1921"/>
      <c r="N16" s="1921"/>
      <c r="O16" s="1921"/>
      <c r="P16" s="1921"/>
      <c r="Q16" s="1921"/>
      <c r="R16" s="1921"/>
    </row>
    <row r="17" spans="1:18" ht="15" customHeight="1">
      <c r="A17" s="520"/>
      <c r="B17" s="1921"/>
      <c r="C17" s="1921"/>
      <c r="D17" s="1921"/>
      <c r="E17" s="1921"/>
      <c r="F17" s="1921"/>
      <c r="G17" s="1921"/>
      <c r="H17" s="1921"/>
      <c r="I17" s="1921"/>
      <c r="J17" s="1921"/>
      <c r="K17" s="1921"/>
      <c r="L17" s="1921"/>
      <c r="M17" s="1921"/>
      <c r="N17" s="1921"/>
      <c r="O17" s="1921"/>
      <c r="P17" s="1921"/>
      <c r="Q17" s="1921"/>
      <c r="R17" s="1921"/>
    </row>
    <row r="18" spans="1:18" ht="15" customHeight="1">
      <c r="A18" s="520"/>
      <c r="B18" s="387"/>
      <c r="C18" s="520"/>
      <c r="D18" s="520"/>
      <c r="E18" s="520"/>
      <c r="F18" s="520"/>
      <c r="G18" s="520"/>
      <c r="H18" s="520"/>
      <c r="I18" s="520"/>
      <c r="J18" s="520"/>
      <c r="K18" s="520"/>
      <c r="L18" s="520"/>
      <c r="M18" s="520"/>
      <c r="N18" s="520"/>
      <c r="O18" s="520"/>
      <c r="P18" s="520"/>
      <c r="Q18" s="520"/>
      <c r="R18" s="520"/>
    </row>
    <row r="19" spans="1:18" ht="15" customHeight="1">
      <c r="A19" s="520"/>
      <c r="B19" s="1921" t="s">
        <v>1880</v>
      </c>
      <c r="C19" s="1921"/>
      <c r="D19" s="1921"/>
      <c r="E19" s="1921"/>
      <c r="F19" s="1921"/>
      <c r="G19" s="1921"/>
      <c r="H19" s="1921"/>
      <c r="I19" s="1921"/>
      <c r="J19" s="1921"/>
      <c r="K19" s="1921"/>
      <c r="L19" s="1921"/>
      <c r="M19" s="1921"/>
      <c r="N19" s="1921"/>
      <c r="O19" s="1921"/>
      <c r="P19" s="1921"/>
      <c r="Q19" s="1921"/>
      <c r="R19" s="1921"/>
    </row>
    <row r="20" spans="1:18" ht="15" customHeight="1">
      <c r="A20" s="520"/>
      <c r="B20" s="1921"/>
      <c r="C20" s="1921"/>
      <c r="D20" s="1921"/>
      <c r="E20" s="1921"/>
      <c r="F20" s="1921"/>
      <c r="G20" s="1921"/>
      <c r="H20" s="1921"/>
      <c r="I20" s="1921"/>
      <c r="J20" s="1921"/>
      <c r="K20" s="1921"/>
      <c r="L20" s="1921"/>
      <c r="M20" s="1921"/>
      <c r="N20" s="1921"/>
      <c r="O20" s="1921"/>
      <c r="P20" s="1921"/>
      <c r="Q20" s="1921"/>
      <c r="R20" s="1921"/>
    </row>
    <row r="21" spans="1:18" ht="15" customHeight="1">
      <c r="A21" s="520"/>
      <c r="B21" s="1921"/>
      <c r="C21" s="1921"/>
      <c r="D21" s="1921"/>
      <c r="E21" s="1921"/>
      <c r="F21" s="1921"/>
      <c r="G21" s="1921"/>
      <c r="H21" s="1921"/>
      <c r="I21" s="1921"/>
      <c r="J21" s="1921"/>
      <c r="K21" s="1921"/>
      <c r="L21" s="1921"/>
      <c r="M21" s="1921"/>
      <c r="N21" s="1921"/>
      <c r="O21" s="1921"/>
      <c r="P21" s="1921"/>
      <c r="Q21" s="1921"/>
      <c r="R21" s="1921"/>
    </row>
    <row r="22" spans="1:18" ht="15" customHeight="1">
      <c r="A22" s="520"/>
      <c r="B22" s="662"/>
      <c r="C22" s="662"/>
      <c r="D22" s="662"/>
      <c r="E22" s="662"/>
      <c r="F22" s="662"/>
      <c r="G22" s="662"/>
      <c r="H22" s="662"/>
      <c r="I22" s="662"/>
      <c r="J22" s="662"/>
      <c r="K22" s="662"/>
      <c r="L22" s="662"/>
      <c r="M22" s="662"/>
      <c r="N22" s="662"/>
      <c r="O22" s="662"/>
      <c r="P22" s="662"/>
      <c r="Q22" s="662"/>
      <c r="R22" s="662"/>
    </row>
    <row r="23" spans="1:18" ht="15" customHeight="1">
      <c r="A23" s="520"/>
      <c r="B23" s="1921" t="s">
        <v>1881</v>
      </c>
      <c r="C23" s="1921"/>
      <c r="D23" s="1921"/>
      <c r="E23" s="1921"/>
      <c r="F23" s="1921"/>
      <c r="G23" s="1921"/>
      <c r="H23" s="1921"/>
      <c r="I23" s="1921"/>
      <c r="J23" s="1921"/>
      <c r="K23" s="1921"/>
      <c r="L23" s="1921"/>
      <c r="M23" s="1921"/>
      <c r="N23" s="1921"/>
      <c r="O23" s="1921"/>
      <c r="P23" s="1921"/>
      <c r="Q23" s="1921"/>
      <c r="R23" s="1921"/>
    </row>
    <row r="24" spans="1:18" ht="15" customHeight="1">
      <c r="B24" s="1921"/>
      <c r="C24" s="1921"/>
      <c r="D24" s="1921"/>
      <c r="E24" s="1921"/>
      <c r="F24" s="1921"/>
      <c r="G24" s="1921"/>
      <c r="H24" s="1921"/>
      <c r="I24" s="1921"/>
      <c r="J24" s="1921"/>
      <c r="K24" s="1921"/>
      <c r="L24" s="1921"/>
      <c r="M24" s="1921"/>
      <c r="N24" s="1921"/>
      <c r="O24" s="1921"/>
      <c r="P24" s="1921"/>
      <c r="Q24" s="1921"/>
      <c r="R24" s="1921"/>
    </row>
    <row r="25" spans="1:18" ht="15" customHeight="1">
      <c r="B25" s="662"/>
      <c r="C25" s="662"/>
      <c r="D25" s="662"/>
      <c r="E25" s="662"/>
      <c r="F25" s="662"/>
      <c r="G25" s="662"/>
      <c r="H25" s="662"/>
      <c r="I25" s="662"/>
      <c r="J25" s="662"/>
      <c r="K25" s="662"/>
      <c r="L25" s="662"/>
      <c r="M25" s="662"/>
      <c r="N25" s="662"/>
      <c r="O25" s="662"/>
      <c r="P25" s="662"/>
      <c r="Q25" s="662"/>
      <c r="R25" s="662"/>
    </row>
    <row r="26" spans="1:18" ht="15" customHeight="1">
      <c r="B26" s="1921" t="s">
        <v>1769</v>
      </c>
      <c r="C26" s="1921"/>
      <c r="D26" s="1921"/>
      <c r="E26" s="1921"/>
      <c r="F26" s="1921"/>
      <c r="G26" s="1921"/>
      <c r="H26" s="1921"/>
      <c r="I26" s="1921"/>
      <c r="J26" s="1921"/>
      <c r="K26" s="1921"/>
      <c r="L26" s="1921"/>
      <c r="M26" s="1921"/>
      <c r="N26" s="1921"/>
      <c r="O26" s="1921"/>
      <c r="P26" s="1921"/>
      <c r="Q26" s="1921"/>
      <c r="R26" s="1921"/>
    </row>
    <row r="27" spans="1:18" ht="15" customHeight="1">
      <c r="B27" s="662"/>
      <c r="C27" s="662"/>
      <c r="D27" s="662"/>
      <c r="E27" s="662"/>
      <c r="F27" s="662"/>
      <c r="G27" s="662"/>
      <c r="H27" s="662"/>
      <c r="I27" s="662"/>
      <c r="J27" s="662"/>
      <c r="K27" s="662"/>
      <c r="L27" s="662"/>
      <c r="M27" s="662"/>
      <c r="N27" s="662"/>
      <c r="O27" s="662"/>
      <c r="P27" s="662"/>
      <c r="Q27" s="662"/>
      <c r="R27" s="662"/>
    </row>
    <row r="28" spans="1:18" ht="15" customHeight="1">
      <c r="B28" s="521" t="s">
        <v>150</v>
      </c>
    </row>
    <row r="29" spans="1:18" ht="15" customHeight="1">
      <c r="B29" s="1930" t="s">
        <v>1681</v>
      </c>
      <c r="C29" s="1930"/>
      <c r="D29" s="1930"/>
      <c r="E29" s="1930"/>
      <c r="F29" s="1930"/>
      <c r="G29" s="1930"/>
      <c r="H29" s="380"/>
      <c r="I29" s="380"/>
      <c r="J29" s="380"/>
      <c r="K29" s="380"/>
      <c r="L29" s="380"/>
      <c r="M29" s="380"/>
      <c r="N29" s="380"/>
      <c r="O29" s="1928" t="s">
        <v>1690</v>
      </c>
    </row>
    <row r="30" spans="1:18" ht="15" customHeight="1">
      <c r="B30" s="1930"/>
      <c r="C30" s="1930"/>
      <c r="D30" s="1930"/>
      <c r="E30" s="1930"/>
      <c r="F30" s="1930"/>
      <c r="G30" s="1930"/>
      <c r="H30" s="380"/>
      <c r="I30" s="380"/>
      <c r="J30" s="380"/>
      <c r="K30" s="380"/>
      <c r="L30" s="380"/>
      <c r="M30" s="380"/>
      <c r="N30" s="380"/>
      <c r="O30" s="1928"/>
    </row>
    <row r="31" spans="1:18" ht="15" customHeight="1">
      <c r="B31" s="1930"/>
      <c r="C31" s="1930"/>
      <c r="D31" s="1930"/>
      <c r="E31" s="1930"/>
      <c r="F31" s="1930"/>
      <c r="G31" s="1930"/>
      <c r="H31" s="380"/>
      <c r="I31" s="380"/>
      <c r="J31" s="380"/>
      <c r="K31" s="380"/>
      <c r="L31" s="380"/>
      <c r="M31" s="380"/>
      <c r="N31" s="380"/>
      <c r="O31" s="1928"/>
    </row>
    <row r="32" spans="1:18" ht="15" customHeight="1">
      <c r="B32" s="1931"/>
      <c r="C32" s="1931"/>
      <c r="D32" s="1931"/>
      <c r="E32" s="1931"/>
      <c r="F32" s="1931"/>
      <c r="G32" s="1931"/>
      <c r="I32" s="1932" t="s">
        <v>149</v>
      </c>
      <c r="J32" s="1933" t="s">
        <v>1035</v>
      </c>
      <c r="K32" s="1934">
        <v>1</v>
      </c>
      <c r="M32" s="522"/>
      <c r="O32" s="1929"/>
      <c r="P32" s="1933" t="s">
        <v>2038</v>
      </c>
    </row>
    <row r="33" spans="1:18" ht="15" customHeight="1">
      <c r="B33" s="1958" t="s">
        <v>1685</v>
      </c>
      <c r="C33" s="1958"/>
      <c r="D33" s="1958"/>
      <c r="E33" s="1958"/>
      <c r="F33" s="1958"/>
      <c r="G33" s="1958"/>
      <c r="I33" s="1932"/>
      <c r="J33" s="1933"/>
      <c r="K33" s="1934"/>
      <c r="M33" s="523"/>
      <c r="O33" s="1958" t="s">
        <v>1685</v>
      </c>
      <c r="P33" s="1933"/>
    </row>
    <row r="34" spans="1:18" ht="15" customHeight="1">
      <c r="B34" s="1932"/>
      <c r="C34" s="1932"/>
      <c r="D34" s="1932"/>
      <c r="E34" s="1932"/>
      <c r="F34" s="1932"/>
      <c r="G34" s="1932"/>
      <c r="I34" s="661"/>
      <c r="J34" s="660"/>
      <c r="K34" s="540"/>
      <c r="M34" s="523"/>
      <c r="O34" s="1932"/>
      <c r="P34" s="660"/>
    </row>
    <row r="35" spans="1:18" ht="15" customHeight="1">
      <c r="B35" s="524"/>
      <c r="C35" s="524"/>
      <c r="D35" s="524"/>
      <c r="E35" s="524"/>
      <c r="F35" s="524"/>
      <c r="G35" s="524"/>
      <c r="H35" s="398"/>
      <c r="I35" s="525"/>
      <c r="J35" s="526"/>
      <c r="K35" s="527"/>
      <c r="L35" s="398"/>
      <c r="M35" s="522"/>
      <c r="N35" s="398"/>
      <c r="O35" s="524"/>
      <c r="P35" s="526"/>
      <c r="Q35" s="398"/>
      <c r="R35" s="398"/>
    </row>
    <row r="36" spans="1:18" ht="15" customHeight="1">
      <c r="B36" s="552"/>
      <c r="C36" s="552"/>
      <c r="D36" s="552"/>
      <c r="E36" s="552"/>
      <c r="F36" s="552"/>
      <c r="G36" s="552"/>
      <c r="I36" s="661"/>
      <c r="J36" s="660"/>
      <c r="K36" s="540"/>
      <c r="M36" s="523"/>
      <c r="O36" s="552"/>
      <c r="P36" s="660"/>
    </row>
    <row r="37" spans="1:18" ht="15" customHeight="1">
      <c r="A37" s="528"/>
      <c r="B37" s="1936" t="s">
        <v>1673</v>
      </c>
      <c r="C37" s="1936"/>
      <c r="D37" s="1936"/>
      <c r="E37" s="1936"/>
      <c r="F37" s="529"/>
      <c r="G37" s="529"/>
      <c r="H37" s="530"/>
      <c r="I37" s="380"/>
      <c r="J37" s="380"/>
      <c r="Q37" s="380"/>
      <c r="R37" s="380"/>
    </row>
    <row r="38" spans="1:18" ht="15" customHeight="1">
      <c r="B38" s="1941" t="s">
        <v>1691</v>
      </c>
      <c r="C38" s="1941"/>
      <c r="D38" s="1941"/>
      <c r="E38" s="1941"/>
      <c r="F38" s="663"/>
      <c r="G38" s="531">
        <f>D120</f>
        <v>5454250.824681011</v>
      </c>
      <c r="H38" s="388"/>
      <c r="I38" s="532"/>
      <c r="J38" s="388"/>
      <c r="L38" s="802"/>
      <c r="M38" s="802"/>
      <c r="N38" s="802"/>
      <c r="O38" s="802"/>
      <c r="Q38" s="1927"/>
      <c r="R38" s="1927"/>
    </row>
    <row r="39" spans="1:18" ht="15" customHeight="1">
      <c r="B39" s="1942" t="s">
        <v>1335</v>
      </c>
      <c r="C39" s="1942"/>
      <c r="D39" s="1942"/>
      <c r="E39" s="1942"/>
      <c r="F39" s="663"/>
      <c r="G39" s="645"/>
      <c r="H39" s="388"/>
      <c r="I39" s="532"/>
      <c r="J39" s="388"/>
      <c r="L39" s="388"/>
      <c r="M39" s="380"/>
      <c r="N39" s="380"/>
      <c r="O39" s="380"/>
      <c r="Q39" s="533"/>
      <c r="R39" s="533"/>
    </row>
    <row r="40" spans="1:18" ht="15" customHeight="1">
      <c r="B40" s="1942" t="s">
        <v>1336</v>
      </c>
      <c r="C40" s="1942"/>
      <c r="D40" s="1942"/>
      <c r="E40" s="1942"/>
      <c r="F40" s="663"/>
      <c r="G40" s="645"/>
      <c r="H40" s="388"/>
      <c r="I40" s="532"/>
      <c r="J40" s="388"/>
      <c r="K40" s="1926"/>
      <c r="L40" s="1926"/>
      <c r="M40" s="1926"/>
      <c r="N40" s="1926"/>
      <c r="O40" s="1926"/>
      <c r="Q40" s="1927"/>
      <c r="R40" s="1927"/>
    </row>
    <row r="41" spans="1:18" ht="15" customHeight="1">
      <c r="B41" s="1943" t="s">
        <v>1686</v>
      </c>
      <c r="C41" s="1943"/>
      <c r="D41" s="1943"/>
      <c r="E41" s="1943"/>
      <c r="F41" s="663"/>
      <c r="G41" s="388"/>
      <c r="H41" s="388"/>
      <c r="I41" s="532"/>
      <c r="J41" s="388"/>
      <c r="K41" s="388"/>
      <c r="L41" s="388"/>
      <c r="M41" s="380"/>
      <c r="N41" s="380"/>
      <c r="O41" s="380"/>
      <c r="Q41" s="533"/>
      <c r="R41" s="533"/>
    </row>
    <row r="42" spans="1:18" ht="15" customHeight="1">
      <c r="B42" s="647"/>
      <c r="C42" s="647"/>
      <c r="D42" s="641"/>
      <c r="E42" s="665"/>
      <c r="F42" s="663"/>
      <c r="G42" s="388"/>
      <c r="H42" s="388"/>
      <c r="I42" s="532"/>
      <c r="J42" s="388"/>
      <c r="K42" s="1926"/>
      <c r="L42" s="1926"/>
      <c r="M42" s="1926"/>
      <c r="N42" s="1926"/>
      <c r="O42" s="1926"/>
      <c r="Q42" s="1927"/>
      <c r="R42" s="1927"/>
    </row>
    <row r="43" spans="1:18" ht="15" customHeight="1">
      <c r="B43" s="647"/>
      <c r="C43" s="647"/>
      <c r="D43" s="517"/>
      <c r="E43" s="665"/>
      <c r="F43" s="663"/>
      <c r="G43" s="388"/>
      <c r="H43" s="388"/>
      <c r="I43" s="532"/>
      <c r="J43" s="388"/>
      <c r="L43" s="388"/>
      <c r="M43" s="380"/>
      <c r="N43" s="380"/>
      <c r="O43" s="380"/>
      <c r="Q43" s="533"/>
      <c r="R43" s="533"/>
    </row>
    <row r="44" spans="1:18" ht="15" customHeight="1">
      <c r="B44" s="647"/>
      <c r="C44" s="647"/>
      <c r="D44" s="517"/>
      <c r="E44" s="665"/>
      <c r="F44" s="663"/>
      <c r="G44" s="388"/>
      <c r="H44" s="388"/>
      <c r="I44" s="532"/>
      <c r="K44" s="387" t="s">
        <v>1938</v>
      </c>
      <c r="Q44" s="1927"/>
      <c r="R44" s="1927"/>
    </row>
    <row r="45" spans="1:18" ht="15" customHeight="1">
      <c r="B45" s="647"/>
      <c r="C45" s="647"/>
      <c r="D45" s="517"/>
      <c r="E45" s="665"/>
      <c r="F45" s="663"/>
      <c r="G45" s="388"/>
      <c r="H45" s="388"/>
      <c r="I45" s="532"/>
      <c r="K45" s="392" t="s">
        <v>1933</v>
      </c>
      <c r="L45" s="392"/>
      <c r="M45" s="388"/>
      <c r="N45" s="388"/>
      <c r="O45" s="388"/>
      <c r="P45" s="388"/>
    </row>
    <row r="46" spans="1:18" ht="15" customHeight="1">
      <c r="B46" s="647"/>
      <c r="C46" s="647"/>
      <c r="D46" s="517"/>
      <c r="E46" s="665"/>
      <c r="F46" s="663"/>
      <c r="G46" s="388"/>
      <c r="H46" s="388"/>
      <c r="I46" s="532"/>
      <c r="J46" s="388"/>
      <c r="K46" s="1920" t="s">
        <v>1934</v>
      </c>
      <c r="L46" s="1920"/>
      <c r="M46" s="1920"/>
      <c r="N46" s="1920"/>
      <c r="O46" s="1920"/>
      <c r="Q46" s="1922"/>
      <c r="R46" s="1922"/>
    </row>
    <row r="47" spans="1:18" ht="15" customHeight="1">
      <c r="B47" s="647"/>
      <c r="C47" s="647"/>
      <c r="D47" s="517"/>
      <c r="E47" s="665"/>
      <c r="F47" s="663"/>
      <c r="G47" s="388"/>
      <c r="H47" s="388"/>
      <c r="I47" s="532"/>
      <c r="J47" s="388"/>
      <c r="K47" s="1925" t="s">
        <v>1935</v>
      </c>
      <c r="L47" s="1925"/>
      <c r="M47" s="1925"/>
      <c r="N47" s="1925"/>
      <c r="O47" s="1925"/>
      <c r="Q47" s="1924"/>
      <c r="R47" s="1924"/>
    </row>
    <row r="48" spans="1:18" ht="15" customHeight="1">
      <c r="B48" s="647"/>
      <c r="C48" s="647"/>
      <c r="D48" s="517"/>
      <c r="E48" s="665"/>
      <c r="F48" s="663"/>
      <c r="G48" s="388"/>
      <c r="H48" s="388"/>
      <c r="I48" s="532"/>
      <c r="J48" s="388"/>
      <c r="K48" s="1923" t="s">
        <v>1936</v>
      </c>
      <c r="L48" s="1923"/>
      <c r="M48" s="1923"/>
      <c r="N48" s="1923"/>
      <c r="O48" s="1923"/>
      <c r="Q48" s="1920">
        <f>Q46+Q47</f>
        <v>0</v>
      </c>
      <c r="R48" s="1920"/>
    </row>
    <row r="49" spans="1:29" ht="15" customHeight="1">
      <c r="B49" s="647"/>
      <c r="C49" s="647"/>
      <c r="D49" s="517"/>
      <c r="E49" s="665"/>
      <c r="F49" s="663"/>
      <c r="G49" s="388"/>
      <c r="H49" s="388"/>
      <c r="I49" s="532"/>
      <c r="J49" s="388"/>
    </row>
    <row r="50" spans="1:29" ht="15" customHeight="1">
      <c r="B50" s="643" t="s">
        <v>1771</v>
      </c>
      <c r="C50" s="643"/>
      <c r="D50" s="646"/>
      <c r="E50" s="644">
        <f>MAX(IF('Sources and Uses Budget'!B15="",0,'Sources and Uses Budget'!B15),IF(Application!AG387="",0,Application!AG387))</f>
        <v>0</v>
      </c>
      <c r="F50" s="663"/>
      <c r="G50" s="388"/>
      <c r="H50" s="388"/>
      <c r="I50" s="532"/>
      <c r="J50" s="388"/>
    </row>
    <row r="51" spans="1:29" ht="15" customHeight="1">
      <c r="B51" s="642" t="s">
        <v>1398</v>
      </c>
      <c r="C51" s="642"/>
      <c r="D51" s="646"/>
      <c r="E51" s="644"/>
      <c r="F51" s="663"/>
      <c r="G51" s="388"/>
      <c r="H51" s="388"/>
      <c r="I51" s="532"/>
      <c r="J51" s="388"/>
    </row>
    <row r="52" spans="1:29" ht="15" customHeight="1">
      <c r="B52" s="1941" t="s">
        <v>1682</v>
      </c>
      <c r="C52" s="1941"/>
      <c r="D52" s="1941"/>
      <c r="E52" s="1941"/>
      <c r="F52" s="663"/>
      <c r="G52" s="531">
        <f>SUM(E42:E49)-ABS(E50)-ABS(E51)</f>
        <v>0</v>
      </c>
      <c r="H52" s="388"/>
      <c r="I52" s="532"/>
      <c r="J52" s="388"/>
    </row>
    <row r="53" spans="1:29" ht="15" customHeight="1">
      <c r="C53" s="536"/>
      <c r="D53" s="536" t="s">
        <v>915</v>
      </c>
      <c r="E53" s="536"/>
      <c r="F53" s="536"/>
      <c r="G53" s="537">
        <f>SUM(G38:G40)+G52</f>
        <v>5454250.824681011</v>
      </c>
      <c r="H53" s="534"/>
      <c r="I53" s="532"/>
      <c r="J53" s="388"/>
      <c r="K53" s="388"/>
      <c r="L53" s="388"/>
    </row>
    <row r="54" spans="1:29" ht="15" customHeight="1">
      <c r="B54" s="538"/>
      <c r="C54" s="538"/>
      <c r="D54" s="538"/>
      <c r="E54" s="538"/>
      <c r="F54" s="538"/>
      <c r="G54" s="538"/>
      <c r="H54" s="398"/>
      <c r="I54" s="535"/>
      <c r="J54" s="535"/>
      <c r="K54" s="535"/>
      <c r="L54" s="535"/>
      <c r="M54" s="535"/>
      <c r="N54" s="535"/>
      <c r="O54" s="398"/>
      <c r="P54" s="398"/>
      <c r="Q54" s="398"/>
      <c r="R54" s="398"/>
    </row>
    <row r="55" spans="1:29" ht="15" customHeight="1">
      <c r="B55" s="663"/>
      <c r="C55" s="663"/>
      <c r="D55" s="663"/>
      <c r="E55" s="663"/>
      <c r="F55" s="663"/>
      <c r="G55" s="663"/>
      <c r="H55" s="663"/>
      <c r="I55" s="663"/>
      <c r="J55" s="663"/>
      <c r="K55" s="663"/>
      <c r="L55" s="663"/>
      <c r="M55" s="663"/>
      <c r="N55" s="663"/>
      <c r="O55" s="663"/>
      <c r="P55" s="663"/>
      <c r="U55" s="768" t="s">
        <v>132</v>
      </c>
      <c r="AC55" s="768" t="s">
        <v>1017</v>
      </c>
    </row>
    <row r="56" spans="1:29" ht="15" customHeight="1">
      <c r="B56" s="1944" t="s">
        <v>1316</v>
      </c>
      <c r="C56" s="1944"/>
      <c r="D56" s="663"/>
      <c r="E56" s="663"/>
      <c r="F56" s="663"/>
      <c r="G56" s="663"/>
      <c r="H56" s="663"/>
      <c r="I56" s="663"/>
      <c r="J56" s="663"/>
      <c r="K56" s="663"/>
      <c r="L56" s="663"/>
      <c r="M56" s="663"/>
      <c r="N56" s="663"/>
      <c r="O56" s="663"/>
      <c r="P56" s="663"/>
      <c r="U56" s="767" t="s">
        <v>1875</v>
      </c>
      <c r="AC56" s="796">
        <v>0.2</v>
      </c>
    </row>
    <row r="57" spans="1:29" ht="15" customHeight="1">
      <c r="A57" s="534"/>
      <c r="B57" s="1945" t="s">
        <v>1676</v>
      </c>
      <c r="C57" s="1945"/>
      <c r="D57" s="1945"/>
      <c r="E57" s="1945"/>
      <c r="F57" s="1945"/>
      <c r="G57" s="1945"/>
      <c r="H57" s="1945"/>
      <c r="I57" s="1945"/>
      <c r="J57" s="1945"/>
      <c r="K57" s="1945"/>
      <c r="L57" s="1945"/>
      <c r="M57" s="1945"/>
      <c r="N57" s="1945"/>
      <c r="O57" s="1945"/>
      <c r="P57" s="663"/>
      <c r="U57" s="767" t="s">
        <v>1876</v>
      </c>
      <c r="AC57" s="796">
        <v>0.1</v>
      </c>
    </row>
    <row r="58" spans="1:29" ht="15" customHeight="1">
      <c r="B58" s="1936" t="s">
        <v>1675</v>
      </c>
      <c r="C58" s="1937"/>
      <c r="D58" s="1937"/>
      <c r="E58" s="1937"/>
      <c r="F58" s="539"/>
      <c r="G58" s="539"/>
      <c r="H58" s="529"/>
      <c r="I58" s="529"/>
      <c r="J58" s="1938">
        <f>('Sources and Uses Budget'!D104+Q47)/('Sources and Uses Budget'!B104+Q48)</f>
        <v>0</v>
      </c>
      <c r="K58" s="1939"/>
      <c r="L58" s="1939"/>
      <c r="M58" s="1939"/>
      <c r="N58" s="1940"/>
      <c r="O58" s="529"/>
      <c r="P58" s="529"/>
      <c r="U58" s="767" t="s">
        <v>1877</v>
      </c>
      <c r="AC58" s="796">
        <v>0.1</v>
      </c>
    </row>
    <row r="59" spans="1:29" ht="15" customHeight="1">
      <c r="B59" s="1921" t="s">
        <v>2249</v>
      </c>
      <c r="C59" s="1921"/>
      <c r="D59" s="1921"/>
      <c r="E59" s="1921"/>
      <c r="F59" s="1921"/>
      <c r="G59" s="1921"/>
      <c r="H59" s="1921"/>
      <c r="I59" s="1921"/>
      <c r="J59" s="1921"/>
      <c r="K59" s="1921"/>
      <c r="L59" s="1921"/>
      <c r="M59" s="1921"/>
      <c r="N59" s="1921"/>
      <c r="O59" s="1921"/>
      <c r="P59" s="529"/>
      <c r="U59" s="767" t="s">
        <v>1878</v>
      </c>
      <c r="AC59" s="796">
        <v>0.05</v>
      </c>
    </row>
    <row r="60" spans="1:29" ht="15" customHeight="1" thickBot="1">
      <c r="B60" s="1921"/>
      <c r="C60" s="1921"/>
      <c r="D60" s="1921"/>
      <c r="E60" s="1921"/>
      <c r="F60" s="1921"/>
      <c r="G60" s="1921"/>
      <c r="H60" s="1921"/>
      <c r="I60" s="1921"/>
      <c r="J60" s="1921"/>
      <c r="K60" s="1921"/>
      <c r="L60" s="1921"/>
      <c r="M60" s="1921"/>
      <c r="N60" s="1921"/>
      <c r="O60" s="1921"/>
      <c r="P60" s="529"/>
      <c r="U60" s="768"/>
      <c r="AC60" s="769"/>
    </row>
    <row r="61" spans="1:29" ht="15" customHeight="1">
      <c r="B61" s="1945" t="s">
        <v>1677</v>
      </c>
      <c r="C61" s="1945"/>
      <c r="D61" s="1945"/>
      <c r="E61" s="1945"/>
      <c r="F61" s="1945"/>
      <c r="G61" s="1945"/>
      <c r="H61" s="1945"/>
      <c r="I61" s="1945"/>
      <c r="J61" s="1945"/>
      <c r="K61" s="1945"/>
      <c r="L61" s="1945"/>
      <c r="M61" s="1945"/>
      <c r="N61" s="1945"/>
      <c r="O61" s="1945"/>
      <c r="P61" s="529"/>
      <c r="U61" s="1914">
        <f>IF(J67="Non-rural project, Census Tract is Highest Resource (20 percentage points)",AC56,0)</f>
        <v>0</v>
      </c>
    </row>
    <row r="62" spans="1:29" ht="15" customHeight="1" thickBot="1">
      <c r="B62" s="398"/>
      <c r="C62" s="398"/>
      <c r="D62" s="398"/>
      <c r="E62" s="398"/>
      <c r="F62" s="398"/>
      <c r="G62" s="398"/>
      <c r="H62" s="398"/>
      <c r="I62" s="398"/>
      <c r="J62" s="398"/>
      <c r="K62" s="398"/>
      <c r="L62" s="398"/>
      <c r="M62" s="398"/>
      <c r="N62" s="398"/>
      <c r="O62" s="398"/>
      <c r="P62" s="398"/>
      <c r="Q62" s="398"/>
      <c r="R62" s="398"/>
      <c r="U62" s="1915"/>
    </row>
    <row r="63" spans="1:29" ht="15" customHeight="1">
      <c r="B63" s="380"/>
      <c r="C63" s="380"/>
      <c r="D63" s="380"/>
      <c r="E63" s="387"/>
      <c r="F63" s="380"/>
      <c r="G63" s="380"/>
      <c r="H63" s="380"/>
      <c r="I63" s="772"/>
      <c r="J63" s="1947" t="s">
        <v>2251</v>
      </c>
      <c r="K63" s="1948"/>
      <c r="L63" s="1948"/>
      <c r="M63" s="1948"/>
      <c r="N63" s="1948"/>
      <c r="O63" s="1948"/>
      <c r="P63" s="1948"/>
      <c r="Q63" s="1948"/>
      <c r="R63" s="1948"/>
      <c r="U63" s="1914">
        <f>IF(J67="Non-rural project, Census Tract is High Resource (10 percentage points)",AC57,0)</f>
        <v>0</v>
      </c>
    </row>
    <row r="64" spans="1:29" ht="15" customHeight="1" thickBot="1">
      <c r="B64" s="1944" t="s">
        <v>1687</v>
      </c>
      <c r="C64" s="1944"/>
      <c r="D64" s="380"/>
      <c r="F64" s="380"/>
      <c r="G64" s="536" t="s">
        <v>1937</v>
      </c>
      <c r="H64" s="380"/>
      <c r="I64" s="773"/>
      <c r="J64" s="1949"/>
      <c r="K64" s="1950"/>
      <c r="L64" s="1950"/>
      <c r="M64" s="1950"/>
      <c r="N64" s="1950"/>
      <c r="O64" s="1950"/>
      <c r="P64" s="1950"/>
      <c r="Q64" s="1950"/>
      <c r="R64" s="1950"/>
      <c r="U64" s="1915"/>
    </row>
    <row r="65" spans="1:22" ht="15" customHeight="1">
      <c r="B65" s="540" t="s">
        <v>1680</v>
      </c>
      <c r="C65" s="525" t="str">
        <f>IF(Application!M349="Yes","Yes","No")</f>
        <v>No</v>
      </c>
      <c r="E65" s="805"/>
      <c r="F65" s="805"/>
      <c r="G65" s="536" t="s">
        <v>1939</v>
      </c>
      <c r="H65" s="380"/>
      <c r="I65" s="773"/>
      <c r="J65" s="1949"/>
      <c r="K65" s="1950"/>
      <c r="L65" s="1950"/>
      <c r="M65" s="1950"/>
      <c r="N65" s="1950"/>
      <c r="O65" s="1950"/>
      <c r="P65" s="1950"/>
      <c r="Q65" s="1950"/>
      <c r="R65" s="1950"/>
      <c r="U65" s="1914">
        <f>IF(J67="Rural project, Census Tract is Highest Resource (10 percentage points)",AC58,0)</f>
        <v>0</v>
      </c>
    </row>
    <row r="66" spans="1:22" ht="15" customHeight="1" thickBot="1">
      <c r="B66" s="541" t="s">
        <v>1757</v>
      </c>
      <c r="C66" s="651">
        <f>Application!AG430-Application!AG431</f>
        <v>73</v>
      </c>
      <c r="D66" s="805"/>
      <c r="E66" s="541" t="s">
        <v>1940</v>
      </c>
      <c r="F66" s="805"/>
      <c r="G66" s="668"/>
      <c r="H66" s="542"/>
      <c r="I66" s="774"/>
      <c r="J66" s="1949"/>
      <c r="K66" s="1950"/>
      <c r="L66" s="1950"/>
      <c r="M66" s="1950"/>
      <c r="N66" s="1950"/>
      <c r="O66" s="1950"/>
      <c r="P66" s="1950"/>
      <c r="Q66" s="1950"/>
      <c r="R66" s="1950"/>
      <c r="U66" s="1915"/>
    </row>
    <row r="67" spans="1:22" ht="15" customHeight="1">
      <c r="B67" s="541" t="s">
        <v>1674</v>
      </c>
      <c r="C67" s="652">
        <f>MIN(IF(AND(C65="Yes",G67&gt;=50),(0.75+(G67/200)),1),1.5)</f>
        <v>1</v>
      </c>
      <c r="D67" s="542"/>
      <c r="E67" s="541" t="s">
        <v>1758</v>
      </c>
      <c r="G67" s="651">
        <f>C66+G66</f>
        <v>73</v>
      </c>
      <c r="H67" s="542"/>
      <c r="I67" s="774"/>
      <c r="J67" s="1946" t="s">
        <v>132</v>
      </c>
      <c r="K67" s="1946"/>
      <c r="L67" s="1946"/>
      <c r="M67" s="1946"/>
      <c r="N67" s="1946"/>
      <c r="O67" s="1946"/>
      <c r="P67" s="1946"/>
      <c r="Q67" s="1946"/>
      <c r="R67" s="1946"/>
      <c r="U67" s="1914">
        <f>IF(J67="Rural project, Census Tract is High Resource (5 percentage points)",AC59,0)</f>
        <v>0</v>
      </c>
    </row>
    <row r="68" spans="1:22" ht="15" customHeight="1" thickBot="1">
      <c r="B68" s="398"/>
      <c r="C68" s="398"/>
      <c r="D68" s="398"/>
      <c r="E68" s="398"/>
      <c r="F68" s="398"/>
      <c r="G68" s="398"/>
      <c r="H68" s="398"/>
      <c r="I68" s="775"/>
      <c r="J68" s="398"/>
      <c r="K68" s="398"/>
      <c r="L68" s="398"/>
      <c r="M68" s="398"/>
      <c r="N68" s="398"/>
      <c r="O68" s="398"/>
      <c r="P68" s="398"/>
      <c r="Q68" s="398"/>
      <c r="R68" s="398"/>
      <c r="U68" s="1915"/>
    </row>
    <row r="69" spans="1:22" ht="15" customHeight="1">
      <c r="U69" s="1918">
        <f>SUM(U61:U68)</f>
        <v>0</v>
      </c>
    </row>
    <row r="70" spans="1:22" ht="15" customHeight="1" thickBot="1">
      <c r="B70" s="521" t="s">
        <v>1684</v>
      </c>
      <c r="C70" s="521"/>
      <c r="D70" s="521"/>
      <c r="E70" s="521"/>
      <c r="F70" s="521"/>
      <c r="G70" s="521"/>
      <c r="U70" s="1919"/>
      <c r="V70" s="377" t="s">
        <v>1879</v>
      </c>
    </row>
    <row r="71" spans="1:22" ht="15" customHeight="1">
      <c r="B71" s="1941" t="s">
        <v>1688</v>
      </c>
      <c r="C71" s="1941"/>
      <c r="D71" s="1941"/>
      <c r="E71" s="521"/>
      <c r="F71" s="521"/>
      <c r="G71" s="531">
        <f>G53*(1-J58)</f>
        <v>5454250.824681011</v>
      </c>
      <c r="J71" s="543"/>
      <c r="K71" s="700" t="s">
        <v>1690</v>
      </c>
      <c r="L71" s="700"/>
      <c r="M71" s="700"/>
      <c r="N71" s="700"/>
      <c r="O71" s="700"/>
      <c r="Q71" s="1920">
        <f>'Basis &amp; Credits'!T23+'Basis &amp; Credits'!Y23+'Basis &amp; Credits'!AD23+'Basis &amp; Credits'!AI23</f>
        <v>40898332</v>
      </c>
      <c r="R71" s="1920"/>
    </row>
    <row r="72" spans="1:22" ht="15" customHeight="1">
      <c r="B72" s="1951" t="s">
        <v>1689</v>
      </c>
      <c r="C72" s="1951"/>
      <c r="D72" s="1951"/>
      <c r="E72" s="521"/>
      <c r="F72" s="521"/>
      <c r="G72" s="531">
        <f>G71*C67</f>
        <v>5454250.824681011</v>
      </c>
      <c r="J72" s="543"/>
      <c r="K72" s="663"/>
      <c r="L72" s="663"/>
      <c r="M72" s="663"/>
      <c r="N72" s="663"/>
      <c r="O72" s="663"/>
      <c r="Q72" s="1927"/>
      <c r="R72" s="1927"/>
    </row>
    <row r="73" spans="1:22" ht="15" customHeight="1">
      <c r="B73" s="648"/>
      <c r="C73" s="649"/>
      <c r="D73" s="537"/>
      <c r="E73" s="521"/>
      <c r="F73" s="521"/>
      <c r="G73" s="388"/>
      <c r="J73" s="543"/>
    </row>
    <row r="74" spans="1:22" ht="15" customHeight="1" thickBot="1">
      <c r="B74" s="521"/>
      <c r="C74" s="521"/>
      <c r="D74" s="521"/>
      <c r="E74" s="521"/>
      <c r="F74" s="521"/>
      <c r="G74" s="521"/>
    </row>
    <row r="75" spans="1:22" ht="15" customHeight="1">
      <c r="A75" s="534"/>
      <c r="B75" s="1952">
        <f>$G$72</f>
        <v>5454250.824681011</v>
      </c>
      <c r="C75" s="1953"/>
      <c r="D75" s="1953"/>
      <c r="E75" s="1953"/>
      <c r="F75" s="1953"/>
      <c r="G75" s="1953"/>
      <c r="H75" s="544"/>
      <c r="I75" s="1932" t="s">
        <v>149</v>
      </c>
      <c r="J75" s="1933" t="s">
        <v>1035</v>
      </c>
      <c r="K75" s="1932">
        <v>1</v>
      </c>
      <c r="M75" s="398"/>
      <c r="N75" s="523"/>
      <c r="O75" s="670">
        <f>$Q$71</f>
        <v>40898332</v>
      </c>
      <c r="P75" s="1933" t="s">
        <v>2038</v>
      </c>
      <c r="Q75" s="1954" t="s">
        <v>148</v>
      </c>
      <c r="R75" s="1916">
        <f>((B75/B76)+((1-(O75/O76))/2))+U69</f>
        <v>0.16482627027384511</v>
      </c>
    </row>
    <row r="76" spans="1:22" ht="15" customHeight="1" thickBot="1">
      <c r="B76" s="1955">
        <f>'Sources and Uses Budget'!$C$104+$Q$46-($E$50+$E$51)*(1-$J$58)</f>
        <v>44737740</v>
      </c>
      <c r="C76" s="1956"/>
      <c r="D76" s="1956"/>
      <c r="E76" s="1956"/>
      <c r="F76" s="1956"/>
      <c r="G76" s="1955"/>
      <c r="I76" s="1932"/>
      <c r="J76" s="1933"/>
      <c r="K76" s="1932"/>
      <c r="M76" s="661"/>
      <c r="O76" s="669">
        <f>B76</f>
        <v>44737740</v>
      </c>
      <c r="P76" s="1933"/>
      <c r="Q76" s="1954"/>
      <c r="R76" s="1917"/>
    </row>
    <row r="77" spans="1:22" ht="15" customHeight="1">
      <c r="B77" s="398"/>
      <c r="C77" s="398"/>
      <c r="D77" s="398"/>
      <c r="E77" s="398"/>
      <c r="F77" s="398"/>
      <c r="G77" s="398"/>
      <c r="H77" s="398"/>
      <c r="I77" s="398"/>
      <c r="J77" s="398"/>
      <c r="K77" s="398"/>
      <c r="L77" s="398"/>
      <c r="M77" s="398"/>
      <c r="N77" s="398"/>
      <c r="O77" s="398"/>
      <c r="P77" s="398"/>
      <c r="Q77" s="398"/>
    </row>
    <row r="79" spans="1:22" ht="15" customHeight="1">
      <c r="B79" s="699" t="s">
        <v>1683</v>
      </c>
      <c r="C79" s="380"/>
      <c r="D79" s="380"/>
      <c r="E79" s="380"/>
      <c r="F79" s="380"/>
      <c r="G79" s="380"/>
      <c r="H79" s="380"/>
      <c r="I79" s="380"/>
      <c r="J79" s="380"/>
      <c r="K79" s="380"/>
      <c r="L79" s="380"/>
      <c r="M79" s="380"/>
      <c r="N79" s="380"/>
      <c r="O79" s="380"/>
      <c r="P79" s="380"/>
      <c r="Q79" s="380"/>
      <c r="R79" s="380"/>
    </row>
    <row r="80" spans="1:22" ht="15" customHeight="1">
      <c r="C80" s="699"/>
      <c r="D80" s="699"/>
      <c r="E80" s="699"/>
      <c r="F80" s="699"/>
      <c r="G80" s="699"/>
      <c r="H80" s="699"/>
      <c r="I80" s="699"/>
      <c r="J80" s="699"/>
      <c r="K80" s="699"/>
      <c r="L80" s="699"/>
      <c r="M80" s="699"/>
      <c r="N80" s="699"/>
      <c r="O80" s="699"/>
    </row>
    <row r="81" spans="2:18" ht="15" customHeight="1">
      <c r="B81" s="387" t="s">
        <v>1931</v>
      </c>
      <c r="C81" s="664"/>
      <c r="D81" s="664"/>
      <c r="E81" s="664"/>
      <c r="F81" s="664"/>
      <c r="H81" s="664"/>
      <c r="I81" s="532"/>
      <c r="J81" s="664"/>
      <c r="K81" s="387" t="s">
        <v>1932</v>
      </c>
      <c r="L81" s="664"/>
      <c r="M81" s="664"/>
      <c r="N81" s="664"/>
      <c r="O81" s="664"/>
    </row>
    <row r="82" spans="2:18" ht="15" customHeight="1">
      <c r="B82" s="789" t="s">
        <v>1884</v>
      </c>
      <c r="C82" s="781"/>
      <c r="D82" s="776"/>
      <c r="E82" s="781"/>
      <c r="F82" s="781"/>
      <c r="G82" s="782"/>
      <c r="I82" s="532"/>
    </row>
    <row r="83" spans="2:18" ht="15" customHeight="1">
      <c r="B83" s="787" t="s">
        <v>1887</v>
      </c>
      <c r="C83" s="781"/>
      <c r="D83" s="781"/>
      <c r="E83" s="779"/>
      <c r="F83" s="779"/>
      <c r="G83" s="782"/>
      <c r="I83" s="532"/>
      <c r="K83" s="770" t="s">
        <v>1759</v>
      </c>
    </row>
    <row r="84" spans="2:18" ht="15" customHeight="1">
      <c r="B84" s="788" t="s">
        <v>2250</v>
      </c>
      <c r="C84" s="783"/>
      <c r="D84" s="783"/>
      <c r="E84" s="777"/>
      <c r="F84" s="777"/>
      <c r="G84" s="784"/>
      <c r="I84" s="532"/>
      <c r="K84" s="770" t="s">
        <v>1697</v>
      </c>
      <c r="L84" s="664"/>
      <c r="M84" s="664"/>
      <c r="N84" s="664"/>
      <c r="O84" s="664"/>
      <c r="P84" s="664"/>
      <c r="Q84" s="1922"/>
      <c r="R84" s="1922"/>
    </row>
    <row r="85" spans="2:18" ht="15" customHeight="1">
      <c r="B85" s="788" t="s">
        <v>1883</v>
      </c>
      <c r="C85" s="785"/>
      <c r="D85" s="785"/>
      <c r="E85" s="780"/>
      <c r="F85" s="780"/>
      <c r="G85" s="786"/>
      <c r="I85" s="532"/>
      <c r="L85" s="697"/>
      <c r="M85" s="697"/>
      <c r="N85" s="697"/>
      <c r="O85" s="697"/>
      <c r="P85" s="697"/>
    </row>
    <row r="86" spans="2:18" ht="15" customHeight="1">
      <c r="B86" s="789" t="s">
        <v>1951</v>
      </c>
      <c r="C86" s="783"/>
      <c r="D86" s="783"/>
      <c r="E86" s="777"/>
      <c r="F86" s="777"/>
      <c r="G86" s="778"/>
      <c r="I86" s="532"/>
      <c r="L86" s="698"/>
      <c r="M86" s="698"/>
      <c r="N86" s="698"/>
      <c r="O86" s="806" t="s">
        <v>1060</v>
      </c>
      <c r="P86" s="698"/>
    </row>
    <row r="87" spans="2:18" ht="15" customHeight="1">
      <c r="B87" s="789" t="s">
        <v>2024</v>
      </c>
      <c r="C87" s="785"/>
      <c r="D87" s="776"/>
      <c r="E87" s="781"/>
      <c r="F87" s="781"/>
      <c r="G87" s="810"/>
      <c r="I87" s="532"/>
    </row>
    <row r="88" spans="2:18" ht="15" customHeight="1">
      <c r="B88" s="807"/>
      <c r="C88" s="808"/>
      <c r="D88" s="808"/>
      <c r="E88" s="809" t="s">
        <v>1882</v>
      </c>
      <c r="F88" s="779"/>
      <c r="G88" s="779" t="s">
        <v>1036</v>
      </c>
      <c r="I88" s="532"/>
      <c r="K88" s="771" t="s">
        <v>1696</v>
      </c>
      <c r="L88" s="664"/>
      <c r="M88" s="664"/>
      <c r="N88" s="664"/>
      <c r="O88" s="664"/>
      <c r="P88" s="664"/>
    </row>
    <row r="89" spans="2:18" ht="15" customHeight="1">
      <c r="B89" s="545" t="s">
        <v>1029</v>
      </c>
      <c r="C89" s="546" t="s">
        <v>1030</v>
      </c>
      <c r="D89" s="790" t="s">
        <v>1885</v>
      </c>
      <c r="E89" s="790" t="s">
        <v>1952</v>
      </c>
      <c r="F89" s="524"/>
      <c r="G89" s="524" t="s">
        <v>1886</v>
      </c>
      <c r="I89" s="532"/>
      <c r="K89" s="771" t="s">
        <v>1698</v>
      </c>
      <c r="L89" s="697"/>
      <c r="M89" s="697"/>
      <c r="N89" s="697"/>
      <c r="O89" s="697"/>
      <c r="P89" s="697"/>
      <c r="Q89" s="1922"/>
      <c r="R89" s="1922"/>
    </row>
    <row r="90" spans="2:18" ht="15" customHeight="1">
      <c r="B90" s="509" t="s">
        <v>650</v>
      </c>
      <c r="C90" s="510">
        <v>2</v>
      </c>
      <c r="D90" s="511">
        <v>834</v>
      </c>
      <c r="E90" s="511">
        <f>1395+Application!Y692</f>
        <v>1416</v>
      </c>
      <c r="F90" s="553"/>
      <c r="G90" s="388">
        <f>MAX(($E90-$D90)*$C90*12,0)</f>
        <v>13968</v>
      </c>
      <c r="I90" s="532"/>
      <c r="K90" s="771" t="s">
        <v>1699</v>
      </c>
      <c r="L90" s="697"/>
      <c r="M90" s="697"/>
      <c r="N90" s="697"/>
      <c r="O90" s="697"/>
      <c r="P90" s="697"/>
      <c r="Q90" s="1957"/>
      <c r="R90" s="1957"/>
    </row>
    <row r="91" spans="2:18" ht="15" customHeight="1">
      <c r="B91" s="509" t="s">
        <v>2522</v>
      </c>
      <c r="C91" s="510">
        <v>14</v>
      </c>
      <c r="D91" s="511">
        <v>893</v>
      </c>
      <c r="E91" s="511">
        <f>1531+Application!Y694</f>
        <v>1558</v>
      </c>
      <c r="F91" s="553"/>
      <c r="G91" s="388">
        <f t="shared" ref="G91:G96" si="0">MAX(($E91-$D91)*$C91*12,0)</f>
        <v>111720</v>
      </c>
      <c r="I91" s="532"/>
      <c r="K91" s="771" t="s">
        <v>1702</v>
      </c>
      <c r="L91" s="697"/>
      <c r="M91" s="697"/>
      <c r="N91" s="697"/>
      <c r="O91" s="697"/>
      <c r="P91" s="697"/>
      <c r="Q91" s="1925">
        <f>IFERROR(Q89/Q90,0)</f>
        <v>0</v>
      </c>
      <c r="R91" s="1925"/>
    </row>
    <row r="92" spans="2:18" ht="15" customHeight="1">
      <c r="B92" s="509" t="s">
        <v>2522</v>
      </c>
      <c r="C92" s="510">
        <v>2</v>
      </c>
      <c r="D92" s="511">
        <v>893</v>
      </c>
      <c r="E92" s="511">
        <f>1553+Application!Y694</f>
        <v>1580</v>
      </c>
      <c r="F92" s="553"/>
      <c r="G92" s="388">
        <f t="shared" si="0"/>
        <v>16488</v>
      </c>
      <c r="I92" s="532"/>
    </row>
    <row r="93" spans="2:18" ht="15" customHeight="1">
      <c r="B93" s="509" t="s">
        <v>2455</v>
      </c>
      <c r="C93" s="510">
        <v>10</v>
      </c>
      <c r="D93" s="511">
        <v>1072</v>
      </c>
      <c r="E93" s="511">
        <f>1669+Application!Y699</f>
        <v>1711</v>
      </c>
      <c r="F93" s="553"/>
      <c r="G93" s="388">
        <f t="shared" si="0"/>
        <v>76680</v>
      </c>
      <c r="I93" s="532"/>
      <c r="K93" s="380" t="s">
        <v>1703</v>
      </c>
      <c r="L93" s="541"/>
      <c r="M93" s="541"/>
      <c r="N93" s="541"/>
      <c r="O93" s="541"/>
      <c r="P93" s="541"/>
      <c r="Q93" s="1920">
        <f>MAX(Q84,Q91)</f>
        <v>0</v>
      </c>
      <c r="R93" s="1920"/>
    </row>
    <row r="94" spans="2:18" ht="15" customHeight="1">
      <c r="B94" s="509" t="s">
        <v>2455</v>
      </c>
      <c r="C94" s="510">
        <v>16</v>
      </c>
      <c r="D94" s="511">
        <v>1072</v>
      </c>
      <c r="E94" s="511">
        <f>1658+Application!Y699</f>
        <v>1700</v>
      </c>
      <c r="F94" s="553"/>
      <c r="G94" s="388">
        <f t="shared" si="0"/>
        <v>120576</v>
      </c>
      <c r="I94" s="532"/>
      <c r="K94" s="380"/>
      <c r="L94" s="541"/>
      <c r="M94" s="541"/>
      <c r="N94" s="541"/>
      <c r="O94" s="541"/>
      <c r="P94" s="541"/>
      <c r="Q94" s="533"/>
      <c r="R94" s="533"/>
    </row>
    <row r="95" spans="2:18" ht="15" customHeight="1">
      <c r="B95" s="509" t="s">
        <v>2455</v>
      </c>
      <c r="C95" s="510">
        <v>6</v>
      </c>
      <c r="D95" s="511">
        <v>1072</v>
      </c>
      <c r="E95" s="511">
        <f>1811+Application!Y699</f>
        <v>1853</v>
      </c>
      <c r="F95" s="553"/>
      <c r="G95" s="388">
        <f t="shared" si="0"/>
        <v>56232</v>
      </c>
      <c r="I95" s="532"/>
      <c r="K95" s="380"/>
      <c r="L95" s="541"/>
      <c r="M95" s="541"/>
      <c r="N95" s="541"/>
      <c r="O95" s="541"/>
      <c r="P95" s="541"/>
      <c r="Q95" s="533"/>
      <c r="R95" s="533"/>
    </row>
    <row r="96" spans="2:18" ht="15" customHeight="1">
      <c r="B96" s="509" t="s">
        <v>2455</v>
      </c>
      <c r="C96" s="510">
        <v>18</v>
      </c>
      <c r="D96" s="511">
        <v>1072</v>
      </c>
      <c r="E96" s="511">
        <f>1684+Application!Y699</f>
        <v>1726</v>
      </c>
      <c r="F96" s="553"/>
      <c r="G96" s="388">
        <f t="shared" si="0"/>
        <v>141264</v>
      </c>
      <c r="I96" s="532"/>
    </row>
    <row r="97" spans="2:9" ht="15" customHeight="1">
      <c r="B97" s="509" t="s">
        <v>2455</v>
      </c>
      <c r="C97" s="510">
        <v>3</v>
      </c>
      <c r="D97" s="511">
        <v>1072</v>
      </c>
      <c r="E97" s="511">
        <f>1706+Application!Y699</f>
        <v>1748</v>
      </c>
      <c r="F97" s="553"/>
      <c r="G97" s="388">
        <f>MAX(($E97-$D97)*$C97*12,0)</f>
        <v>24336</v>
      </c>
      <c r="I97" s="532"/>
    </row>
    <row r="98" spans="2:9" ht="15" customHeight="1">
      <c r="B98" s="509" t="s">
        <v>2456</v>
      </c>
      <c r="C98" s="510">
        <v>2</v>
      </c>
      <c r="D98" s="511">
        <v>1239</v>
      </c>
      <c r="E98" s="511">
        <f>2200+Application!Y707</f>
        <v>2272</v>
      </c>
      <c r="F98" s="553"/>
      <c r="G98" s="388">
        <f t="shared" ref="G98:G107" si="1">MAX(($E98-$D98)*$C98*12,0)</f>
        <v>24792</v>
      </c>
      <c r="I98" s="532"/>
    </row>
    <row r="99" spans="2:9" ht="15" customHeight="1">
      <c r="B99" s="509"/>
      <c r="C99" s="510"/>
      <c r="D99" s="511"/>
      <c r="E99" s="511"/>
      <c r="F99" s="553"/>
      <c r="G99" s="388">
        <f t="shared" si="1"/>
        <v>0</v>
      </c>
      <c r="I99" s="532"/>
    </row>
    <row r="100" spans="2:9" ht="15" customHeight="1">
      <c r="B100" s="509"/>
      <c r="C100" s="510"/>
      <c r="D100" s="511"/>
      <c r="E100" s="511"/>
      <c r="F100" s="553"/>
      <c r="G100" s="388">
        <f t="shared" si="1"/>
        <v>0</v>
      </c>
      <c r="I100" s="532"/>
    </row>
    <row r="101" spans="2:9" ht="15" customHeight="1">
      <c r="B101" s="509"/>
      <c r="C101" s="510"/>
      <c r="D101" s="511"/>
      <c r="E101" s="511"/>
      <c r="F101" s="553"/>
      <c r="G101" s="388">
        <f t="shared" si="1"/>
        <v>0</v>
      </c>
      <c r="I101" s="532"/>
    </row>
    <row r="102" spans="2:9" ht="15" customHeight="1">
      <c r="B102" s="509"/>
      <c r="C102" s="510"/>
      <c r="D102" s="511"/>
      <c r="E102" s="511"/>
      <c r="F102" s="553"/>
      <c r="G102" s="388">
        <f t="shared" si="1"/>
        <v>0</v>
      </c>
      <c r="I102" s="532"/>
    </row>
    <row r="103" spans="2:9" ht="15" customHeight="1">
      <c r="B103" s="509"/>
      <c r="C103" s="510"/>
      <c r="D103" s="511"/>
      <c r="E103" s="511"/>
      <c r="F103" s="553"/>
      <c r="G103" s="388">
        <f t="shared" si="1"/>
        <v>0</v>
      </c>
      <c r="I103" s="532"/>
    </row>
    <row r="104" spans="2:9" ht="15" customHeight="1">
      <c r="B104" s="509"/>
      <c r="C104" s="510"/>
      <c r="D104" s="511"/>
      <c r="E104" s="511"/>
      <c r="F104" s="553"/>
      <c r="G104" s="388">
        <f t="shared" si="1"/>
        <v>0</v>
      </c>
      <c r="I104" s="532"/>
    </row>
    <row r="105" spans="2:9" ht="15" customHeight="1">
      <c r="B105" s="509"/>
      <c r="C105" s="510"/>
      <c r="D105" s="511"/>
      <c r="E105" s="511"/>
      <c r="F105" s="553"/>
      <c r="G105" s="388">
        <f t="shared" si="1"/>
        <v>0</v>
      </c>
      <c r="I105" s="532"/>
    </row>
    <row r="106" spans="2:9" ht="15" customHeight="1">
      <c r="B106" s="509"/>
      <c r="C106" s="510"/>
      <c r="D106" s="511"/>
      <c r="E106" s="511"/>
      <c r="F106" s="553"/>
      <c r="G106" s="388">
        <f t="shared" si="1"/>
        <v>0</v>
      </c>
      <c r="I106" s="532"/>
    </row>
    <row r="107" spans="2:9" ht="15" customHeight="1">
      <c r="B107" s="509"/>
      <c r="C107" s="510"/>
      <c r="D107" s="511"/>
      <c r="E107" s="511"/>
      <c r="F107" s="553"/>
      <c r="G107" s="388">
        <f t="shared" si="1"/>
        <v>0</v>
      </c>
      <c r="I107" s="532"/>
    </row>
    <row r="108" spans="2:9" ht="15" customHeight="1">
      <c r="C108" s="548"/>
      <c r="D108" s="380"/>
      <c r="E108" s="541" t="s">
        <v>1793</v>
      </c>
      <c r="F108" s="541"/>
      <c r="G108" s="537">
        <f>SUM(G90:G107)</f>
        <v>586056</v>
      </c>
      <c r="I108" s="532"/>
    </row>
    <row r="109" spans="2:9" ht="15" customHeight="1">
      <c r="I109" s="532"/>
    </row>
    <row r="110" spans="2:9" ht="15" customHeight="1">
      <c r="B110" s="380" t="s">
        <v>1700</v>
      </c>
      <c r="D110" s="533">
        <f>G108+Q93</f>
        <v>586056</v>
      </c>
      <c r="I110" s="532"/>
    </row>
    <row r="111" spans="2:9" ht="15" customHeight="1">
      <c r="B111" s="380" t="s">
        <v>1031</v>
      </c>
      <c r="D111" s="549">
        <v>0.05</v>
      </c>
      <c r="I111" s="532"/>
    </row>
    <row r="112" spans="2:9" ht="15" customHeight="1">
      <c r="B112" s="380" t="s">
        <v>1061</v>
      </c>
      <c r="D112" s="533">
        <f>D110-(D110*D111)</f>
        <v>556753.19999999995</v>
      </c>
    </row>
    <row r="113" spans="2:7" ht="15" customHeight="1">
      <c r="B113" s="380" t="s">
        <v>1692</v>
      </c>
      <c r="D113" s="550"/>
    </row>
    <row r="114" spans="2:7" ht="15" customHeight="1">
      <c r="B114" s="380" t="s">
        <v>1701</v>
      </c>
      <c r="D114" s="533">
        <f>D112/D118</f>
        <v>484133.21739130432</v>
      </c>
    </row>
    <row r="116" spans="2:7" ht="15" customHeight="1">
      <c r="B116" s="380" t="s">
        <v>1693</v>
      </c>
      <c r="D116" s="380">
        <v>15</v>
      </c>
    </row>
    <row r="117" spans="2:7" ht="15" customHeight="1">
      <c r="B117" s="380" t="s">
        <v>1694</v>
      </c>
      <c r="D117" s="656">
        <v>0.04</v>
      </c>
    </row>
    <row r="118" spans="2:7" ht="15" customHeight="1">
      <c r="B118" s="380" t="s">
        <v>1136</v>
      </c>
      <c r="D118" s="551">
        <v>1.1499999999999999</v>
      </c>
    </row>
    <row r="119" spans="2:7" ht="15" customHeight="1">
      <c r="B119" s="380"/>
      <c r="C119" s="380"/>
      <c r="D119" s="552"/>
      <c r="E119" s="552"/>
      <c r="F119" s="552"/>
    </row>
    <row r="120" spans="2:7" ht="15" customHeight="1">
      <c r="B120" s="380" t="s">
        <v>1695</v>
      </c>
      <c r="C120" s="380"/>
      <c r="D120" s="650">
        <f>PV(D117/12,D116*12,-D114/12, ,0)</f>
        <v>5454250.824681011</v>
      </c>
      <c r="E120" s="380"/>
      <c r="F120" s="380"/>
      <c r="G120" s="547"/>
    </row>
  </sheetData>
  <sheetProtection algorithmName="SHA-512" hashValue="5isIjNRkxNYygpHpUXo3lgyAJTN85xfKpm0dy/kG4xO/flO+GLGJe5CA1tgfRoJj4MNtDAsypFfzQ7hrQOKoUg==" saltValue="4c//W5txGC39J65xJZeQjw=="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10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8" zoomScale="85" zoomScaleNormal="85" workbookViewId="0">
      <selection activeCell="C45" sqref="C4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6" t="s">
        <v>1103</v>
      </c>
      <c r="D3" s="383"/>
      <c r="E3" s="407" t="s">
        <v>1104</v>
      </c>
      <c r="F3" s="379"/>
      <c r="G3" s="407" t="s">
        <v>1105</v>
      </c>
      <c r="H3" s="379"/>
      <c r="I3" s="407" t="s">
        <v>1106</v>
      </c>
      <c r="J3" s="379"/>
      <c r="K3" s="407" t="s">
        <v>1107</v>
      </c>
      <c r="L3" s="379"/>
      <c r="M3" s="407" t="s">
        <v>1108</v>
      </c>
      <c r="N3" s="379"/>
      <c r="O3" s="407" t="s">
        <v>1109</v>
      </c>
      <c r="P3" s="379"/>
      <c r="Q3" s="407" t="s">
        <v>1110</v>
      </c>
      <c r="R3" s="379"/>
      <c r="S3" s="407" t="s">
        <v>1111</v>
      </c>
      <c r="T3" s="379"/>
      <c r="U3" s="407" t="s">
        <v>1112</v>
      </c>
      <c r="V3" s="379"/>
      <c r="W3" s="407" t="s">
        <v>1113</v>
      </c>
      <c r="X3" s="379"/>
      <c r="Y3" s="407" t="s">
        <v>1114</v>
      </c>
      <c r="Z3" s="379"/>
      <c r="AA3" s="407" t="s">
        <v>1115</v>
      </c>
      <c r="AB3" s="379"/>
      <c r="AC3" s="407" t="s">
        <v>1116</v>
      </c>
      <c r="AD3" s="379"/>
      <c r="AE3" s="407" t="s">
        <v>1117</v>
      </c>
      <c r="AF3" s="379"/>
      <c r="AG3" s="407" t="s">
        <v>1118</v>
      </c>
      <c r="AH3" s="383"/>
    </row>
    <row r="4" spans="1:34" ht="14.25">
      <c r="A4" s="388" t="s">
        <v>1119</v>
      </c>
      <c r="B4" s="388"/>
      <c r="C4" s="409">
        <v>1.0249999999999999</v>
      </c>
      <c r="D4" s="388"/>
      <c r="E4" s="388">
        <f>Application!Y765</f>
        <v>1081080</v>
      </c>
      <c r="F4" s="388"/>
      <c r="G4" s="388">
        <f>E4*$C$4</f>
        <v>1108107</v>
      </c>
      <c r="H4" s="388"/>
      <c r="I4" s="388">
        <f>G4*$C$4</f>
        <v>1135809.6749999998</v>
      </c>
      <c r="J4" s="388"/>
      <c r="K4" s="388">
        <f>I4*$C$4</f>
        <v>1164204.9168749996</v>
      </c>
      <c r="L4" s="388"/>
      <c r="M4" s="388">
        <f>K4*$C$4</f>
        <v>1193310.0397968746</v>
      </c>
      <c r="N4" s="388"/>
      <c r="O4" s="388">
        <f>M4*$C$4</f>
        <v>1223142.7907917963</v>
      </c>
      <c r="P4" s="388"/>
      <c r="Q4" s="388">
        <f>O4*$C$4</f>
        <v>1253721.3605615911</v>
      </c>
      <c r="R4" s="388"/>
      <c r="S4" s="388">
        <f>Q4*$C$4</f>
        <v>1285064.3945756308</v>
      </c>
      <c r="T4" s="388"/>
      <c r="U4" s="388">
        <f>S4*$C$4</f>
        <v>1317191.0044400215</v>
      </c>
      <c r="V4" s="388"/>
      <c r="W4" s="388">
        <f>U4*$C$4</f>
        <v>1350120.779551022</v>
      </c>
      <c r="X4" s="388"/>
      <c r="Y4" s="388">
        <f>W4*$C$4</f>
        <v>1383873.7990397974</v>
      </c>
      <c r="Z4" s="388"/>
      <c r="AA4" s="388">
        <f>Y4*$C$4</f>
        <v>1418470.6440157923</v>
      </c>
      <c r="AB4" s="388"/>
      <c r="AC4" s="388">
        <f>AA4*$C$4</f>
        <v>1453932.4101161871</v>
      </c>
      <c r="AD4" s="388"/>
      <c r="AE4" s="388">
        <f>AC4*$C$4</f>
        <v>1490280.7203690917</v>
      </c>
      <c r="AF4" s="388"/>
      <c r="AG4" s="388">
        <f>AE4*$C$4</f>
        <v>1527537.738378319</v>
      </c>
      <c r="AH4" s="388"/>
    </row>
    <row r="5" spans="1:34" ht="14.25">
      <c r="A5" s="380"/>
      <c r="B5" s="380" t="s">
        <v>1031</v>
      </c>
      <c r="C5" s="410">
        <f>IF(Application!$D$214="Special Needs",0.1,0.05)</f>
        <v>0.05</v>
      </c>
      <c r="D5" s="380"/>
      <c r="E5" s="390">
        <f>-E4*$C$5</f>
        <v>-54054</v>
      </c>
      <c r="F5" s="390"/>
      <c r="G5" s="390">
        <f>-G4*$C$5</f>
        <v>-55405.350000000006</v>
      </c>
      <c r="H5" s="390"/>
      <c r="I5" s="390">
        <f>-I4*$C$5</f>
        <v>-56790.483749999992</v>
      </c>
      <c r="J5" s="390"/>
      <c r="K5" s="390">
        <f>-K4*$C$5</f>
        <v>-58210.245843749988</v>
      </c>
      <c r="L5" s="390"/>
      <c r="M5" s="390">
        <f>-M4*$C$5</f>
        <v>-59665.501989843731</v>
      </c>
      <c r="N5" s="390"/>
      <c r="O5" s="390">
        <f>-O4*$C$5</f>
        <v>-61157.139539589814</v>
      </c>
      <c r="P5" s="390"/>
      <c r="Q5" s="390">
        <f>-Q4*$C$5</f>
        <v>-62686.068028079557</v>
      </c>
      <c r="R5" s="390"/>
      <c r="S5" s="390">
        <f>-S4*$C$5</f>
        <v>-64253.219728781543</v>
      </c>
      <c r="T5" s="390"/>
      <c r="U5" s="390">
        <f>-U4*$C$5</f>
        <v>-65859.550222001082</v>
      </c>
      <c r="V5" s="390"/>
      <c r="W5" s="390">
        <f>-W4*$C$5</f>
        <v>-67506.038977551099</v>
      </c>
      <c r="X5" s="390"/>
      <c r="Y5" s="390">
        <f>-Y4*$C$5</f>
        <v>-69193.689951989872</v>
      </c>
      <c r="Z5" s="390"/>
      <c r="AA5" s="390">
        <f>-AA4*$C$5</f>
        <v>-70923.532200789617</v>
      </c>
      <c r="AB5" s="390"/>
      <c r="AC5" s="390">
        <f>-AC4*$C$5</f>
        <v>-72696.620505809362</v>
      </c>
      <c r="AD5" s="390"/>
      <c r="AE5" s="390">
        <f>-AE4*$C$5</f>
        <v>-74514.036018454586</v>
      </c>
      <c r="AF5" s="390"/>
      <c r="AG5" s="390">
        <f>-AG4*$C$5</f>
        <v>-76376.886918915945</v>
      </c>
      <c r="AH5" s="380"/>
    </row>
    <row r="6" spans="1:34" ht="14.25">
      <c r="A6" s="380" t="s">
        <v>1120</v>
      </c>
      <c r="B6" s="380"/>
      <c r="C6" s="409">
        <v>1.0249999999999999</v>
      </c>
      <c r="D6" s="380"/>
      <c r="E6" s="391">
        <f>Application!Z773</f>
        <v>373848</v>
      </c>
      <c r="F6" s="391"/>
      <c r="G6" s="391">
        <f>E6*$C$6</f>
        <v>383194.19999999995</v>
      </c>
      <c r="H6" s="391"/>
      <c r="I6" s="391">
        <f>G6*$C$6</f>
        <v>392774.05499999993</v>
      </c>
      <c r="J6" s="391"/>
      <c r="K6" s="391">
        <f>I6*$C$6</f>
        <v>402593.4063749999</v>
      </c>
      <c r="L6" s="391"/>
      <c r="M6" s="391">
        <f>K6*$C$6</f>
        <v>412658.24153437489</v>
      </c>
      <c r="N6" s="391"/>
      <c r="O6" s="391">
        <f>M6*$C$6</f>
        <v>422974.69757273421</v>
      </c>
      <c r="P6" s="391"/>
      <c r="Q6" s="391">
        <f>O6*$C$6</f>
        <v>433549.06501205254</v>
      </c>
      <c r="R6" s="391"/>
      <c r="S6" s="391">
        <f>Q6*$C$6</f>
        <v>444387.79163735383</v>
      </c>
      <c r="T6" s="391"/>
      <c r="U6" s="391">
        <f>S6*$C$6</f>
        <v>455497.48642828764</v>
      </c>
      <c r="V6" s="391"/>
      <c r="W6" s="391">
        <f>U6*$C$6</f>
        <v>466884.92358899477</v>
      </c>
      <c r="X6" s="391"/>
      <c r="Y6" s="391">
        <f>W6*$C$6</f>
        <v>478557.04667871958</v>
      </c>
      <c r="Z6" s="391"/>
      <c r="AA6" s="391">
        <f>Y6*$C$6</f>
        <v>490520.97284568753</v>
      </c>
      <c r="AB6" s="391"/>
      <c r="AC6" s="391">
        <f>AA6*$C$6</f>
        <v>502783.99716682965</v>
      </c>
      <c r="AD6" s="391"/>
      <c r="AE6" s="391">
        <f>AC6*$C$6</f>
        <v>515353.59709600033</v>
      </c>
      <c r="AF6" s="391"/>
      <c r="AG6" s="391">
        <f>AE6*$C$6</f>
        <v>528237.43702340033</v>
      </c>
      <c r="AH6" s="380"/>
    </row>
    <row r="7" spans="1:34" ht="14.25">
      <c r="A7" s="380"/>
      <c r="B7" s="380" t="s">
        <v>1031</v>
      </c>
      <c r="C7" s="410">
        <f>IF(Application!$D$214="Special Needs",0.1,0.05)</f>
        <v>0.05</v>
      </c>
      <c r="D7" s="380"/>
      <c r="E7" s="390">
        <f>-E6*$C$7</f>
        <v>-18692.400000000001</v>
      </c>
      <c r="F7" s="390"/>
      <c r="G7" s="390">
        <f>-G6*$C$7</f>
        <v>-19159.71</v>
      </c>
      <c r="H7" s="390"/>
      <c r="I7" s="390">
        <f>-I6*$C$7</f>
        <v>-19638.702749999997</v>
      </c>
      <c r="J7" s="390"/>
      <c r="K7" s="390">
        <f>-K6*$C$7</f>
        <v>-20129.670318749995</v>
      </c>
      <c r="L7" s="390"/>
      <c r="M7" s="390">
        <f>-M6*$C$7</f>
        <v>-20632.912076718745</v>
      </c>
      <c r="N7" s="390"/>
      <c r="O7" s="390">
        <f>-O6*$C$7</f>
        <v>-21148.734878636711</v>
      </c>
      <c r="P7" s="390"/>
      <c r="Q7" s="390">
        <f>-Q6*$C$7</f>
        <v>-21677.45325060263</v>
      </c>
      <c r="R7" s="390"/>
      <c r="S7" s="390">
        <f>-S6*$C$7</f>
        <v>-22219.389581867694</v>
      </c>
      <c r="T7" s="390"/>
      <c r="U7" s="390">
        <f>-U6*$C$7</f>
        <v>-22774.874321414383</v>
      </c>
      <c r="V7" s="390"/>
      <c r="W7" s="390">
        <f>-W6*$C$7</f>
        <v>-23344.246179449739</v>
      </c>
      <c r="X7" s="390"/>
      <c r="Y7" s="390">
        <f>-Y6*$C$7</f>
        <v>-23927.852333935982</v>
      </c>
      <c r="Z7" s="390"/>
      <c r="AA7" s="390">
        <f>-AA6*$C$7</f>
        <v>-24526.048642284379</v>
      </c>
      <c r="AB7" s="390"/>
      <c r="AC7" s="390">
        <f>-AC6*$C$7</f>
        <v>-25139.199858341482</v>
      </c>
      <c r="AD7" s="390"/>
      <c r="AE7" s="390">
        <f>-AE6*$C$7</f>
        <v>-25767.679854800019</v>
      </c>
      <c r="AF7" s="390"/>
      <c r="AG7" s="390">
        <f>-AG6*$C$7</f>
        <v>-26411.871851170017</v>
      </c>
      <c r="AH7" s="380"/>
    </row>
    <row r="8" spans="1:34" ht="14.25">
      <c r="A8" s="380" t="s">
        <v>276</v>
      </c>
      <c r="B8" s="380"/>
      <c r="C8" s="409">
        <v>1.0249999999999999</v>
      </c>
      <c r="D8" s="380"/>
      <c r="E8" s="391">
        <f>Application!Z781</f>
        <v>3800</v>
      </c>
      <c r="F8" s="391"/>
      <c r="G8" s="391">
        <f>E8*$C$8</f>
        <v>3894.9999999999995</v>
      </c>
      <c r="H8" s="391"/>
      <c r="I8" s="391">
        <f>G8*$C$8</f>
        <v>3992.3749999999991</v>
      </c>
      <c r="J8" s="391"/>
      <c r="K8" s="391">
        <f>I8*$C$8</f>
        <v>4092.1843749999989</v>
      </c>
      <c r="L8" s="391"/>
      <c r="M8" s="391">
        <f>K8*$C$8</f>
        <v>4194.4889843749988</v>
      </c>
      <c r="N8" s="391"/>
      <c r="O8" s="391">
        <f>M8*$C$8</f>
        <v>4299.3512089843734</v>
      </c>
      <c r="P8" s="391"/>
      <c r="Q8" s="391">
        <f>O8*$C$8</f>
        <v>4406.8349892089827</v>
      </c>
      <c r="R8" s="391"/>
      <c r="S8" s="391">
        <f>Q8*$C$8</f>
        <v>4517.0058639392073</v>
      </c>
      <c r="T8" s="391"/>
      <c r="U8" s="391">
        <f>S8*$C$8</f>
        <v>4629.9310105376871</v>
      </c>
      <c r="V8" s="391"/>
      <c r="W8" s="391">
        <f>U8*$C$8</f>
        <v>4745.6792858011286</v>
      </c>
      <c r="X8" s="391"/>
      <c r="Y8" s="391">
        <f>W8*$C$8</f>
        <v>4864.3212679461567</v>
      </c>
      <c r="Z8" s="391"/>
      <c r="AA8" s="391">
        <f>Y8*$C$8</f>
        <v>4985.9292996448103</v>
      </c>
      <c r="AB8" s="391"/>
      <c r="AC8" s="391">
        <f>AA8*$C$8</f>
        <v>5110.5775321359297</v>
      </c>
      <c r="AD8" s="391"/>
      <c r="AE8" s="391">
        <f>AC8*$C$8</f>
        <v>5238.3419704393273</v>
      </c>
      <c r="AF8" s="391"/>
      <c r="AG8" s="391">
        <f>AE8*$C$8</f>
        <v>5369.3005197003104</v>
      </c>
      <c r="AH8" s="380"/>
    </row>
    <row r="9" spans="1:34" ht="14.25">
      <c r="A9" s="380"/>
      <c r="B9" s="380" t="s">
        <v>1031</v>
      </c>
      <c r="C9" s="410">
        <f>IF(Application!$D$214="Special Needs",0.1,0.05)</f>
        <v>0.05</v>
      </c>
      <c r="D9" s="380"/>
      <c r="E9" s="390">
        <f>-E8*$C$9</f>
        <v>-190</v>
      </c>
      <c r="F9" s="390"/>
      <c r="G9" s="390">
        <f>-G8*$C$9</f>
        <v>-194.75</v>
      </c>
      <c r="H9" s="390"/>
      <c r="I9" s="390">
        <f>-I8*$C$9</f>
        <v>-199.61874999999998</v>
      </c>
      <c r="J9" s="390"/>
      <c r="K9" s="390">
        <f>-K8*$C$9</f>
        <v>-204.60921874999997</v>
      </c>
      <c r="L9" s="390"/>
      <c r="M9" s="390">
        <f>-M8*$C$9</f>
        <v>-209.72444921874995</v>
      </c>
      <c r="N9" s="390"/>
      <c r="O9" s="390">
        <f>-O8*$C$9</f>
        <v>-214.96756044921869</v>
      </c>
      <c r="P9" s="390"/>
      <c r="Q9" s="390">
        <f>-Q8*$C$9</f>
        <v>-220.34174946044914</v>
      </c>
      <c r="R9" s="390"/>
      <c r="S9" s="390">
        <f>-S8*$C$9</f>
        <v>-225.85029319696037</v>
      </c>
      <c r="T9" s="390"/>
      <c r="U9" s="390">
        <f>-U8*$C$9</f>
        <v>-231.49655052688436</v>
      </c>
      <c r="V9" s="390"/>
      <c r="W9" s="390">
        <f>-W8*$C$9</f>
        <v>-237.28396429005645</v>
      </c>
      <c r="X9" s="390"/>
      <c r="Y9" s="390">
        <f>-Y8*$C$9</f>
        <v>-243.21606339730783</v>
      </c>
      <c r="Z9" s="390"/>
      <c r="AA9" s="390">
        <f>-AA8*$C$9</f>
        <v>-249.29646498224054</v>
      </c>
      <c r="AB9" s="390"/>
      <c r="AC9" s="390">
        <f>-AC8*$C$9</f>
        <v>-255.5288766067965</v>
      </c>
      <c r="AD9" s="390"/>
      <c r="AE9" s="390">
        <f>-AE8*$C$9</f>
        <v>-261.91709852196635</v>
      </c>
      <c r="AF9" s="390"/>
      <c r="AG9" s="390">
        <f>-AG8*$C$9</f>
        <v>-268.46502598501553</v>
      </c>
      <c r="AH9" s="380"/>
    </row>
    <row r="10" spans="1:34" ht="14.25">
      <c r="A10" s="953" t="s">
        <v>2202</v>
      </c>
      <c r="B10" s="953"/>
      <c r="C10" s="410"/>
      <c r="D10" s="380"/>
      <c r="E10" s="954"/>
      <c r="F10" s="390"/>
      <c r="G10" s="954"/>
      <c r="H10" s="390"/>
      <c r="I10" s="954"/>
      <c r="J10" s="390"/>
      <c r="K10" s="954"/>
      <c r="L10" s="390"/>
      <c r="M10" s="954"/>
      <c r="N10" s="390"/>
      <c r="O10" s="954"/>
      <c r="P10" s="390"/>
      <c r="Q10" s="954"/>
      <c r="R10" s="390"/>
      <c r="S10" s="954"/>
      <c r="T10" s="390"/>
      <c r="U10" s="954"/>
      <c r="V10" s="390"/>
      <c r="W10" s="954"/>
      <c r="X10" s="390"/>
      <c r="Y10" s="954"/>
      <c r="Z10" s="390"/>
      <c r="AA10" s="954"/>
      <c r="AB10" s="390"/>
      <c r="AC10" s="954"/>
      <c r="AD10" s="390"/>
      <c r="AE10" s="954"/>
      <c r="AF10" s="390"/>
      <c r="AG10" s="954"/>
      <c r="AH10" s="380"/>
    </row>
    <row r="11" spans="1:34" ht="15">
      <c r="A11" s="392" t="s">
        <v>1121</v>
      </c>
      <c r="B11" s="392"/>
      <c r="C11" s="385"/>
      <c r="D11" s="392"/>
      <c r="E11" s="392">
        <f>SUM(E4:E10)</f>
        <v>1385791.6</v>
      </c>
      <c r="F11" s="392"/>
      <c r="G11" s="392">
        <f>SUM(G4:G10)</f>
        <v>1420436.39</v>
      </c>
      <c r="H11" s="392"/>
      <c r="I11" s="392">
        <f>SUM(I4:I10)</f>
        <v>1455947.29975</v>
      </c>
      <c r="J11" s="392"/>
      <c r="K11" s="392">
        <f>SUM(K4:K10)</f>
        <v>1492345.9822437495</v>
      </c>
      <c r="L11" s="392"/>
      <c r="M11" s="392">
        <f>SUM(M4:M10)</f>
        <v>1529654.6317998434</v>
      </c>
      <c r="N11" s="392"/>
      <c r="O11" s="392">
        <f>SUM(O4:O10)</f>
        <v>1567895.9975948392</v>
      </c>
      <c r="P11" s="392"/>
      <c r="Q11" s="392">
        <f>SUM(Q4:Q10)</f>
        <v>1607093.3975347099</v>
      </c>
      <c r="R11" s="392"/>
      <c r="S11" s="392">
        <f>SUM(S4:S10)</f>
        <v>1647270.7324730775</v>
      </c>
      <c r="T11" s="392"/>
      <c r="U11" s="392">
        <f>SUM(U4:U10)</f>
        <v>1688452.5007849045</v>
      </c>
      <c r="V11" s="392"/>
      <c r="W11" s="392">
        <f>SUM(W4:W10)</f>
        <v>1730663.813304527</v>
      </c>
      <c r="X11" s="392"/>
      <c r="Y11" s="392">
        <f>SUM(Y4:Y10)</f>
        <v>1773930.4086371402</v>
      </c>
      <c r="Z11" s="392"/>
      <c r="AA11" s="392">
        <f>SUM(AA4:AA10)</f>
        <v>1818278.6688530685</v>
      </c>
      <c r="AB11" s="392"/>
      <c r="AC11" s="392">
        <f>SUM(AC4:AC10)</f>
        <v>1863735.6355743948</v>
      </c>
      <c r="AD11" s="392"/>
      <c r="AE11" s="392">
        <f>SUM(AE4:AE10)</f>
        <v>1910329.0264637549</v>
      </c>
      <c r="AF11" s="392"/>
      <c r="AG11" s="392">
        <f>SUM(AG4:AG10)</f>
        <v>1958087.2521253489</v>
      </c>
      <c r="AH11" s="392"/>
    </row>
    <row r="12" spans="1:34">
      <c r="A12" s="365"/>
      <c r="B12" s="365"/>
      <c r="C12" s="400"/>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0"/>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09">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1"/>
      <c r="D15" s="388"/>
      <c r="E15" s="388">
        <f>Application!W811</f>
        <v>35875</v>
      </c>
      <c r="F15" s="388"/>
      <c r="G15" s="388">
        <f t="shared" ref="G15:G21" si="0">E15*$C$14</f>
        <v>37130.625</v>
      </c>
      <c r="H15" s="388"/>
      <c r="I15" s="388">
        <f t="shared" ref="I15:I21" si="1">G15*$C$14</f>
        <v>38430.196874999994</v>
      </c>
      <c r="J15" s="388"/>
      <c r="K15" s="388">
        <f t="shared" ref="K15:K21" si="2">I15*$C$14</f>
        <v>39775.253765624992</v>
      </c>
      <c r="L15" s="388"/>
      <c r="M15" s="388">
        <f t="shared" ref="M15:M21" si="3">K15*$C$14</f>
        <v>41167.387647421863</v>
      </c>
      <c r="N15" s="388"/>
      <c r="O15" s="388">
        <f t="shared" ref="O15:O21" si="4">M15*$C$14</f>
        <v>42608.246215081628</v>
      </c>
      <c r="P15" s="388"/>
      <c r="Q15" s="388">
        <f t="shared" ref="Q15:Q21" si="5">O15*$C$14</f>
        <v>44099.534832609483</v>
      </c>
      <c r="R15" s="388"/>
      <c r="S15" s="388">
        <f t="shared" ref="S15:S21" si="6">Q15*$C$14</f>
        <v>45643.018551750814</v>
      </c>
      <c r="T15" s="388"/>
      <c r="U15" s="388">
        <f t="shared" ref="U15:U21" si="7">S15*$C$14</f>
        <v>47240.524201062086</v>
      </c>
      <c r="V15" s="388"/>
      <c r="W15" s="388">
        <f t="shared" ref="W15:W21" si="8">U15*$C$14</f>
        <v>48893.942548099258</v>
      </c>
      <c r="X15" s="388"/>
      <c r="Y15" s="388">
        <f t="shared" ref="Y15:Y21" si="9">W15*$C$14</f>
        <v>50605.230537282725</v>
      </c>
      <c r="Z15" s="388"/>
      <c r="AA15" s="388">
        <f t="shared" ref="AA15:AA21" si="10">Y15*$C$14</f>
        <v>52376.413606087619</v>
      </c>
      <c r="AB15" s="388"/>
      <c r="AC15" s="388">
        <f t="shared" ref="AC15:AC21" si="11">AA15*$C$14</f>
        <v>54209.588082300681</v>
      </c>
      <c r="AD15" s="388"/>
      <c r="AE15" s="388">
        <f t="shared" ref="AE15:AE21" si="12">AC15*$C$14</f>
        <v>56106.923665181203</v>
      </c>
      <c r="AF15" s="388"/>
      <c r="AG15" s="388">
        <f t="shared" ref="AG15:AG21" si="13">AE15*$C$14</f>
        <v>58070.665993462542</v>
      </c>
      <c r="AH15" s="388"/>
    </row>
    <row r="16" spans="1:34" ht="14.25">
      <c r="A16" s="380" t="s">
        <v>497</v>
      </c>
      <c r="B16" s="380"/>
      <c r="C16" s="400"/>
      <c r="D16" s="380"/>
      <c r="E16" s="391">
        <f>Application!W813</f>
        <v>57000</v>
      </c>
      <c r="F16" s="391"/>
      <c r="G16" s="391">
        <f t="shared" si="0"/>
        <v>58994.999999999993</v>
      </c>
      <c r="H16" s="391"/>
      <c r="I16" s="391">
        <f t="shared" si="1"/>
        <v>61059.82499999999</v>
      </c>
      <c r="J16" s="391"/>
      <c r="K16" s="391">
        <f t="shared" si="2"/>
        <v>63196.918874999981</v>
      </c>
      <c r="L16" s="391"/>
      <c r="M16" s="391">
        <f t="shared" si="3"/>
        <v>65408.811035624974</v>
      </c>
      <c r="N16" s="391"/>
      <c r="O16" s="391">
        <f t="shared" si="4"/>
        <v>67698.119421871845</v>
      </c>
      <c r="P16" s="391"/>
      <c r="Q16" s="391">
        <f t="shared" si="5"/>
        <v>70067.553601637352</v>
      </c>
      <c r="R16" s="391"/>
      <c r="S16" s="391">
        <f t="shared" si="6"/>
        <v>72519.917977694655</v>
      </c>
      <c r="T16" s="391"/>
      <c r="U16" s="391">
        <f t="shared" si="7"/>
        <v>75058.11510691396</v>
      </c>
      <c r="V16" s="391"/>
      <c r="W16" s="391">
        <f t="shared" si="8"/>
        <v>77685.149135655942</v>
      </c>
      <c r="X16" s="391"/>
      <c r="Y16" s="391">
        <f t="shared" si="9"/>
        <v>80404.1293554039</v>
      </c>
      <c r="Z16" s="391"/>
      <c r="AA16" s="391">
        <f t="shared" si="10"/>
        <v>83218.27388284303</v>
      </c>
      <c r="AB16" s="391"/>
      <c r="AC16" s="391">
        <f t="shared" si="11"/>
        <v>86130.913468742525</v>
      </c>
      <c r="AD16" s="391"/>
      <c r="AE16" s="391">
        <f t="shared" si="12"/>
        <v>89145.495440148501</v>
      </c>
      <c r="AF16" s="391"/>
      <c r="AG16" s="391">
        <f t="shared" si="13"/>
        <v>92265.587780553687</v>
      </c>
      <c r="AH16" s="380"/>
    </row>
    <row r="17" spans="1:34" ht="14.25">
      <c r="A17" s="380" t="s">
        <v>769</v>
      </c>
      <c r="B17" s="380"/>
      <c r="C17" s="400"/>
      <c r="D17" s="380"/>
      <c r="E17" s="391">
        <f>Application!W819</f>
        <v>69900</v>
      </c>
      <c r="F17" s="391"/>
      <c r="G17" s="391">
        <f t="shared" si="0"/>
        <v>72346.5</v>
      </c>
      <c r="H17" s="391"/>
      <c r="I17" s="391">
        <f t="shared" si="1"/>
        <v>74878.627499999988</v>
      </c>
      <c r="J17" s="391"/>
      <c r="K17" s="391">
        <f t="shared" si="2"/>
        <v>77499.379462499986</v>
      </c>
      <c r="L17" s="391"/>
      <c r="M17" s="391">
        <f t="shared" si="3"/>
        <v>80211.857743687477</v>
      </c>
      <c r="N17" s="391"/>
      <c r="O17" s="391">
        <f t="shared" si="4"/>
        <v>83019.27276471653</v>
      </c>
      <c r="P17" s="391"/>
      <c r="Q17" s="391">
        <f t="shared" si="5"/>
        <v>85924.947311481606</v>
      </c>
      <c r="R17" s="391"/>
      <c r="S17" s="391">
        <f t="shared" si="6"/>
        <v>88932.320467383455</v>
      </c>
      <c r="T17" s="391"/>
      <c r="U17" s="391">
        <f t="shared" si="7"/>
        <v>92044.951683741863</v>
      </c>
      <c r="V17" s="391"/>
      <c r="W17" s="391">
        <f t="shared" si="8"/>
        <v>95266.524992672814</v>
      </c>
      <c r="X17" s="391"/>
      <c r="Y17" s="391">
        <f t="shared" si="9"/>
        <v>98600.853367416348</v>
      </c>
      <c r="Z17" s="391"/>
      <c r="AA17" s="391">
        <f t="shared" si="10"/>
        <v>102051.88323527591</v>
      </c>
      <c r="AB17" s="391"/>
      <c r="AC17" s="391">
        <f t="shared" si="11"/>
        <v>105623.69914851055</v>
      </c>
      <c r="AD17" s="391"/>
      <c r="AE17" s="391">
        <f t="shared" si="12"/>
        <v>109320.52861870841</v>
      </c>
      <c r="AF17" s="391"/>
      <c r="AG17" s="391">
        <f t="shared" si="13"/>
        <v>113146.7471203632</v>
      </c>
      <c r="AH17" s="380"/>
    </row>
    <row r="18" spans="1:34" ht="14.25">
      <c r="A18" s="380" t="s">
        <v>1125</v>
      </c>
      <c r="B18" s="380"/>
      <c r="C18" s="400"/>
      <c r="D18" s="380"/>
      <c r="E18" s="391">
        <f>Application!W826</f>
        <v>115282</v>
      </c>
      <c r="F18" s="391"/>
      <c r="G18" s="391">
        <f t="shared" si="0"/>
        <v>119316.87</v>
      </c>
      <c r="H18" s="391"/>
      <c r="I18" s="391">
        <f t="shared" si="1"/>
        <v>123492.96044999998</v>
      </c>
      <c r="J18" s="391"/>
      <c r="K18" s="391">
        <f t="shared" si="2"/>
        <v>127815.21406574997</v>
      </c>
      <c r="L18" s="391"/>
      <c r="M18" s="391">
        <f t="shared" si="3"/>
        <v>132288.74655805121</v>
      </c>
      <c r="N18" s="391"/>
      <c r="O18" s="391">
        <f t="shared" si="4"/>
        <v>136918.85268758298</v>
      </c>
      <c r="P18" s="391"/>
      <c r="Q18" s="391">
        <f t="shared" si="5"/>
        <v>141711.01253164839</v>
      </c>
      <c r="R18" s="391"/>
      <c r="S18" s="391">
        <f t="shared" si="6"/>
        <v>146670.89797025608</v>
      </c>
      <c r="T18" s="391"/>
      <c r="U18" s="391">
        <f t="shared" si="7"/>
        <v>151804.37939921502</v>
      </c>
      <c r="V18" s="391"/>
      <c r="W18" s="391">
        <f t="shared" si="8"/>
        <v>157117.53267818753</v>
      </c>
      <c r="X18" s="391"/>
      <c r="Y18" s="391">
        <f t="shared" si="9"/>
        <v>162616.64632192408</v>
      </c>
      <c r="Z18" s="391"/>
      <c r="AA18" s="391">
        <f t="shared" si="10"/>
        <v>168308.22894319141</v>
      </c>
      <c r="AB18" s="391"/>
      <c r="AC18" s="391">
        <f t="shared" si="11"/>
        <v>174199.01695620309</v>
      </c>
      <c r="AD18" s="391"/>
      <c r="AE18" s="391">
        <f t="shared" si="12"/>
        <v>180295.98254967018</v>
      </c>
      <c r="AF18" s="391"/>
      <c r="AG18" s="391">
        <f t="shared" si="13"/>
        <v>186606.34193890862</v>
      </c>
    </row>
    <row r="19" spans="1:34" ht="14.25">
      <c r="A19" s="380" t="s">
        <v>974</v>
      </c>
      <c r="B19" s="380"/>
      <c r="C19" s="400"/>
      <c r="D19" s="380"/>
      <c r="E19" s="391">
        <f>Application!W827</f>
        <v>51060</v>
      </c>
      <c r="F19" s="391"/>
      <c r="G19" s="391">
        <f t="shared" si="0"/>
        <v>52847.1</v>
      </c>
      <c r="H19" s="391"/>
      <c r="I19" s="391">
        <f t="shared" si="1"/>
        <v>54696.748499999994</v>
      </c>
      <c r="J19" s="391"/>
      <c r="K19" s="391">
        <f t="shared" si="2"/>
        <v>56611.134697499991</v>
      </c>
      <c r="L19" s="391"/>
      <c r="M19" s="391">
        <f t="shared" si="3"/>
        <v>58592.524411912484</v>
      </c>
      <c r="N19" s="391"/>
      <c r="O19" s="391">
        <f t="shared" si="4"/>
        <v>60643.262766329419</v>
      </c>
      <c r="P19" s="391"/>
      <c r="Q19" s="391">
        <f t="shared" si="5"/>
        <v>62765.776963150944</v>
      </c>
      <c r="R19" s="391"/>
      <c r="S19" s="391">
        <f t="shared" si="6"/>
        <v>64962.579156861219</v>
      </c>
      <c r="T19" s="391"/>
      <c r="U19" s="391">
        <f t="shared" si="7"/>
        <v>67236.269427351363</v>
      </c>
      <c r="V19" s="391"/>
      <c r="W19" s="391">
        <f t="shared" si="8"/>
        <v>69589.538857308653</v>
      </c>
      <c r="X19" s="391"/>
      <c r="Y19" s="391">
        <f t="shared" si="9"/>
        <v>72025.172717314446</v>
      </c>
      <c r="Z19" s="391"/>
      <c r="AA19" s="391">
        <f t="shared" si="10"/>
        <v>74546.053762420444</v>
      </c>
      <c r="AB19" s="391"/>
      <c r="AC19" s="391">
        <f t="shared" si="11"/>
        <v>77155.16564410516</v>
      </c>
      <c r="AD19" s="391"/>
      <c r="AE19" s="391">
        <f t="shared" si="12"/>
        <v>79855.596441648828</v>
      </c>
      <c r="AF19" s="391"/>
      <c r="AG19" s="391">
        <f t="shared" si="13"/>
        <v>82650.542317106534</v>
      </c>
    </row>
    <row r="20" spans="1:34" ht="14.25">
      <c r="A20" s="380" t="s">
        <v>59</v>
      </c>
      <c r="B20" s="380"/>
      <c r="C20" s="400"/>
      <c r="D20" s="380"/>
      <c r="E20" s="391">
        <f>Application!W836</f>
        <v>206300</v>
      </c>
      <c r="F20" s="391"/>
      <c r="G20" s="391">
        <f t="shared" si="0"/>
        <v>213520.49999999997</v>
      </c>
      <c r="H20" s="391"/>
      <c r="I20" s="391">
        <f t="shared" si="1"/>
        <v>220993.71749999994</v>
      </c>
      <c r="J20" s="391"/>
      <c r="K20" s="391">
        <f t="shared" si="2"/>
        <v>228728.49761249992</v>
      </c>
      <c r="L20" s="391"/>
      <c r="M20" s="391">
        <f t="shared" si="3"/>
        <v>236733.99502893741</v>
      </c>
      <c r="N20" s="391"/>
      <c r="O20" s="391">
        <f t="shared" si="4"/>
        <v>245019.6848549502</v>
      </c>
      <c r="P20" s="391"/>
      <c r="Q20" s="391">
        <f t="shared" si="5"/>
        <v>253595.37382487344</v>
      </c>
      <c r="R20" s="391"/>
      <c r="S20" s="391">
        <f t="shared" si="6"/>
        <v>262471.21190874401</v>
      </c>
      <c r="T20" s="391"/>
      <c r="U20" s="391">
        <f t="shared" si="7"/>
        <v>271657.70432555</v>
      </c>
      <c r="V20" s="391"/>
      <c r="W20" s="391">
        <f t="shared" si="8"/>
        <v>281165.72397694422</v>
      </c>
      <c r="X20" s="391"/>
      <c r="Y20" s="391">
        <f t="shared" si="9"/>
        <v>291006.52431613725</v>
      </c>
      <c r="Z20" s="391"/>
      <c r="AA20" s="391">
        <f t="shared" si="10"/>
        <v>301191.75266720203</v>
      </c>
      <c r="AB20" s="391"/>
      <c r="AC20" s="391">
        <f t="shared" si="11"/>
        <v>311733.46401055407</v>
      </c>
      <c r="AD20" s="391"/>
      <c r="AE20" s="391">
        <f t="shared" si="12"/>
        <v>322644.13525092346</v>
      </c>
      <c r="AF20" s="391"/>
      <c r="AG20" s="391">
        <f t="shared" si="13"/>
        <v>333936.67998470576</v>
      </c>
    </row>
    <row r="21" spans="1:34" ht="14.25">
      <c r="A21" s="612" t="s">
        <v>1270</v>
      </c>
      <c r="B21" s="612"/>
      <c r="C21" s="400"/>
      <c r="D21" s="380"/>
      <c r="E21" s="399">
        <f>Application!W843</f>
        <v>0</v>
      </c>
      <c r="F21" s="391"/>
      <c r="G21" s="399">
        <f t="shared" si="0"/>
        <v>0</v>
      </c>
      <c r="H21" s="391"/>
      <c r="I21" s="399">
        <f t="shared" si="1"/>
        <v>0</v>
      </c>
      <c r="J21" s="391"/>
      <c r="K21" s="399">
        <f t="shared" si="2"/>
        <v>0</v>
      </c>
      <c r="L21" s="391"/>
      <c r="M21" s="399">
        <f t="shared" si="3"/>
        <v>0</v>
      </c>
      <c r="N21" s="391"/>
      <c r="O21" s="399">
        <f t="shared" si="4"/>
        <v>0</v>
      </c>
      <c r="P21" s="391"/>
      <c r="Q21" s="399">
        <f t="shared" si="5"/>
        <v>0</v>
      </c>
      <c r="R21" s="391"/>
      <c r="S21" s="399">
        <f t="shared" si="6"/>
        <v>0</v>
      </c>
      <c r="T21" s="391"/>
      <c r="U21" s="399">
        <f t="shared" si="7"/>
        <v>0</v>
      </c>
      <c r="V21" s="391"/>
      <c r="W21" s="399">
        <f t="shared" si="8"/>
        <v>0</v>
      </c>
      <c r="X21" s="391"/>
      <c r="Y21" s="399">
        <f t="shared" si="9"/>
        <v>0</v>
      </c>
      <c r="Z21" s="391"/>
      <c r="AA21" s="399">
        <f t="shared" si="10"/>
        <v>0</v>
      </c>
      <c r="AB21" s="391"/>
      <c r="AC21" s="399">
        <f t="shared" si="11"/>
        <v>0</v>
      </c>
      <c r="AD21" s="391"/>
      <c r="AE21" s="399">
        <f t="shared" si="12"/>
        <v>0</v>
      </c>
      <c r="AF21" s="391"/>
      <c r="AG21" s="399">
        <f t="shared" si="13"/>
        <v>0</v>
      </c>
    </row>
    <row r="22" spans="1:34" ht="15">
      <c r="A22" s="392" t="s">
        <v>1126</v>
      </c>
      <c r="B22" s="392"/>
      <c r="C22" s="400"/>
      <c r="D22" s="392"/>
      <c r="E22" s="392">
        <f>SUM(E15:E21)</f>
        <v>535417</v>
      </c>
      <c r="F22" s="392"/>
      <c r="G22" s="392">
        <f>SUM(G15:G21)</f>
        <v>554156.59499999997</v>
      </c>
      <c r="H22" s="392"/>
      <c r="I22" s="392">
        <f>SUM(I15:I21)</f>
        <v>573552.07582499983</v>
      </c>
      <c r="J22" s="392"/>
      <c r="K22" s="392">
        <f>SUM(K15:K21)</f>
        <v>593626.39847887482</v>
      </c>
      <c r="L22" s="392"/>
      <c r="M22" s="392">
        <f>SUM(M15:M21)</f>
        <v>614403.32242563542</v>
      </c>
      <c r="N22" s="392"/>
      <c r="O22" s="392">
        <f>SUM(O15:O21)</f>
        <v>635907.43871053262</v>
      </c>
      <c r="P22" s="392"/>
      <c r="Q22" s="392">
        <f>SUM(Q15:Q21)</f>
        <v>658164.19906540122</v>
      </c>
      <c r="R22" s="392"/>
      <c r="S22" s="392">
        <f>SUM(S15:S21)</f>
        <v>681199.94603269023</v>
      </c>
      <c r="T22" s="392"/>
      <c r="U22" s="392">
        <f>SUM(U15:U21)</f>
        <v>705041.94414383429</v>
      </c>
      <c r="V22" s="392"/>
      <c r="W22" s="392">
        <f>SUM(W15:W21)</f>
        <v>729718.41218886839</v>
      </c>
      <c r="X22" s="392"/>
      <c r="Y22" s="392">
        <f>SUM(Y15:Y21)</f>
        <v>755258.55661547882</v>
      </c>
      <c r="Z22" s="392"/>
      <c r="AA22" s="392">
        <f>SUM(AA15:AA21)</f>
        <v>781692.60609702044</v>
      </c>
      <c r="AB22" s="392"/>
      <c r="AC22" s="392">
        <f>SUM(AC15:AC21)</f>
        <v>809051.84731041617</v>
      </c>
      <c r="AD22" s="392"/>
      <c r="AE22" s="392">
        <f>SUM(AE15:AE21)</f>
        <v>837368.66196628055</v>
      </c>
      <c r="AF22" s="392"/>
      <c r="AG22" s="392">
        <f>SUM(AG15:AG21)</f>
        <v>866676.56513510039</v>
      </c>
    </row>
    <row r="23" spans="1:34" ht="15">
      <c r="A23" s="392"/>
      <c r="B23" s="392"/>
      <c r="C23" s="400"/>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2" t="s">
        <v>2034</v>
      </c>
      <c r="B24" s="612"/>
      <c r="C24" s="833"/>
      <c r="D24" s="612"/>
      <c r="E24" s="834"/>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0"/>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09">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09">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12" t="s">
        <v>1128</v>
      </c>
      <c r="B28" s="380"/>
      <c r="C28" s="409"/>
      <c r="D28" s="380"/>
      <c r="E28" s="391">
        <f>Application!AC853</f>
        <v>21900</v>
      </c>
      <c r="F28" s="391"/>
      <c r="G28" s="391">
        <f>$E$28</f>
        <v>21900</v>
      </c>
      <c r="H28" s="391"/>
      <c r="I28" s="391">
        <f>$E$28</f>
        <v>21900</v>
      </c>
      <c r="J28" s="391"/>
      <c r="K28" s="391">
        <f>$E$28</f>
        <v>21900</v>
      </c>
      <c r="L28" s="391"/>
      <c r="M28" s="391">
        <f>$E$28</f>
        <v>21900</v>
      </c>
      <c r="N28" s="391"/>
      <c r="O28" s="391">
        <f>$E$28</f>
        <v>21900</v>
      </c>
      <c r="P28" s="391"/>
      <c r="Q28" s="391">
        <f>$E$28</f>
        <v>21900</v>
      </c>
      <c r="R28" s="391"/>
      <c r="S28" s="391">
        <f>$E$28</f>
        <v>21900</v>
      </c>
      <c r="T28" s="391"/>
      <c r="U28" s="391">
        <f>$E$28</f>
        <v>21900</v>
      </c>
      <c r="V28" s="391"/>
      <c r="W28" s="391">
        <f>$E$28</f>
        <v>21900</v>
      </c>
      <c r="X28" s="391"/>
      <c r="Y28" s="391">
        <f>$E$28</f>
        <v>21900</v>
      </c>
      <c r="Z28" s="391"/>
      <c r="AA28" s="391">
        <f>$E$28</f>
        <v>21900</v>
      </c>
      <c r="AB28" s="391"/>
      <c r="AC28" s="391">
        <f>$E$28</f>
        <v>21900</v>
      </c>
      <c r="AD28" s="391"/>
      <c r="AE28" s="391">
        <f>$E$28</f>
        <v>21900</v>
      </c>
      <c r="AF28" s="391"/>
      <c r="AG28" s="391">
        <f>$E$28</f>
        <v>21900</v>
      </c>
    </row>
    <row r="29" spans="1:34" ht="14.25">
      <c r="A29" s="612" t="s">
        <v>2035</v>
      </c>
      <c r="B29" s="380"/>
      <c r="C29" s="409"/>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2" t="s">
        <v>1129</v>
      </c>
      <c r="B30" s="380"/>
      <c r="C30" s="409">
        <v>1.02</v>
      </c>
      <c r="D30" s="380"/>
      <c r="E30" s="391">
        <f>Application!AC855</f>
        <v>11687</v>
      </c>
      <c r="F30" s="391"/>
      <c r="G30" s="391">
        <f>E30*$C$30</f>
        <v>11920.74</v>
      </c>
      <c r="H30" s="391"/>
      <c r="I30" s="391">
        <f>G30*$C$30</f>
        <v>12159.1548</v>
      </c>
      <c r="J30" s="391"/>
      <c r="K30" s="391">
        <f>I30*$C$30</f>
        <v>12402.337896000001</v>
      </c>
      <c r="L30" s="391"/>
      <c r="M30" s="391">
        <f>K30*$C$30</f>
        <v>12650.38465392</v>
      </c>
      <c r="N30" s="391"/>
      <c r="O30" s="391">
        <f>M30*$C$30</f>
        <v>12903.3923469984</v>
      </c>
      <c r="P30" s="391"/>
      <c r="Q30" s="391">
        <f>O30*$C$30</f>
        <v>13161.460193938368</v>
      </c>
      <c r="R30" s="391"/>
      <c r="S30" s="391">
        <f>Q30*$C$30</f>
        <v>13424.689397817136</v>
      </c>
      <c r="T30" s="391"/>
      <c r="U30" s="391">
        <f>S30*$C$30</f>
        <v>13693.183185773478</v>
      </c>
      <c r="V30" s="391"/>
      <c r="W30" s="391">
        <f>U30*$C$30</f>
        <v>13967.046849488948</v>
      </c>
      <c r="X30" s="391"/>
      <c r="Y30" s="391">
        <f>W30*$C$30</f>
        <v>14246.387786478728</v>
      </c>
      <c r="Z30" s="391"/>
      <c r="AA30" s="391">
        <f>Y30*$C$30</f>
        <v>14531.315542208304</v>
      </c>
      <c r="AB30" s="391"/>
      <c r="AC30" s="391">
        <f>AA30*$C$30</f>
        <v>14821.941853052471</v>
      </c>
      <c r="AD30" s="391"/>
      <c r="AE30" s="391">
        <f>AC30*$C$30</f>
        <v>15118.380690113521</v>
      </c>
      <c r="AF30" s="391"/>
      <c r="AG30" s="391">
        <f>AE30*$C$30</f>
        <v>15420.748303915792</v>
      </c>
    </row>
    <row r="31" spans="1:34" ht="14.25">
      <c r="A31" s="612" t="s">
        <v>2036</v>
      </c>
      <c r="B31" s="380"/>
      <c r="C31" s="409">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0">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0">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569004</v>
      </c>
      <c r="F35" s="392"/>
      <c r="G35" s="392">
        <f>SUM(G22:G33)</f>
        <v>587977.33499999996</v>
      </c>
      <c r="H35" s="392"/>
      <c r="I35" s="392">
        <f>SUM(I22:I33)</f>
        <v>607611.23062499985</v>
      </c>
      <c r="J35" s="392"/>
      <c r="K35" s="392">
        <f>SUM(K22:K33)</f>
        <v>627928.73637487483</v>
      </c>
      <c r="L35" s="392"/>
      <c r="M35" s="392">
        <f>SUM(M22:M33)</f>
        <v>648953.70707955537</v>
      </c>
      <c r="N35" s="392"/>
      <c r="O35" s="392">
        <f>SUM(O22:O33)</f>
        <v>670710.83105753106</v>
      </c>
      <c r="P35" s="392"/>
      <c r="Q35" s="392">
        <f>SUM(Q22:Q33)</f>
        <v>693225.65925933956</v>
      </c>
      <c r="R35" s="392"/>
      <c r="S35" s="392">
        <f>SUM(S22:S33)</f>
        <v>716524.63543050736</v>
      </c>
      <c r="T35" s="392"/>
      <c r="U35" s="392">
        <f>SUM(U22:U33)</f>
        <v>740635.12732960773</v>
      </c>
      <c r="V35" s="392"/>
      <c r="W35" s="392">
        <f>SUM(W22:W33)</f>
        <v>765585.45903835737</v>
      </c>
      <c r="X35" s="392"/>
      <c r="Y35" s="392">
        <f>SUM(Y22:Y33)</f>
        <v>791404.94440195756</v>
      </c>
      <c r="Z35" s="392"/>
      <c r="AA35" s="392">
        <f>SUM(AA22:AA33)</f>
        <v>818123.92163922871</v>
      </c>
      <c r="AB35" s="392"/>
      <c r="AC35" s="392">
        <f>SUM(AC22:AC33)</f>
        <v>845773.78916346864</v>
      </c>
      <c r="AD35" s="392"/>
      <c r="AE35" s="392">
        <f>SUM(AE22:AE33)</f>
        <v>874387.04265639407</v>
      </c>
      <c r="AF35" s="392"/>
      <c r="AG35" s="392">
        <f>SUM(AG22:AG33)</f>
        <v>903997.31343901623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816787.60000000009</v>
      </c>
      <c r="F37" s="392"/>
      <c r="G37" s="392">
        <f>G11-G35</f>
        <v>832459.05499999993</v>
      </c>
      <c r="H37" s="392"/>
      <c r="I37" s="392">
        <f>I11-I35</f>
        <v>848336.06912500015</v>
      </c>
      <c r="J37" s="392"/>
      <c r="K37" s="392">
        <f>K11-K35</f>
        <v>864417.24586887471</v>
      </c>
      <c r="L37" s="392"/>
      <c r="M37" s="392">
        <f>M11-M35</f>
        <v>880700.92472028802</v>
      </c>
      <c r="N37" s="392"/>
      <c r="O37" s="392">
        <f>O11-O35</f>
        <v>897185.16653730813</v>
      </c>
      <c r="P37" s="392"/>
      <c r="Q37" s="392">
        <f>Q11-Q35</f>
        <v>913867.73827537033</v>
      </c>
      <c r="R37" s="392"/>
      <c r="S37" s="392">
        <f>S11-S35</f>
        <v>930746.09704257012</v>
      </c>
      <c r="T37" s="392"/>
      <c r="U37" s="392">
        <f>U11-U35</f>
        <v>947817.37345529674</v>
      </c>
      <c r="V37" s="392"/>
      <c r="W37" s="392">
        <f>W11-W35</f>
        <v>965078.3542661696</v>
      </c>
      <c r="X37" s="392"/>
      <c r="Y37" s="392">
        <f>Y11-Y35</f>
        <v>982525.46423518262</v>
      </c>
      <c r="Z37" s="392"/>
      <c r="AA37" s="392">
        <f>AA11-AA35</f>
        <v>1000154.7472138398</v>
      </c>
      <c r="AB37" s="392"/>
      <c r="AC37" s="392">
        <f>AC11-AC35</f>
        <v>1017961.8464109262</v>
      </c>
      <c r="AD37" s="392"/>
      <c r="AE37" s="392">
        <f>AE11-AE35</f>
        <v>1035941.9838073609</v>
      </c>
      <c r="AF37" s="392"/>
      <c r="AG37" s="392">
        <f>AG11-AG35</f>
        <v>1054089.9386863327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East West Bank</v>
      </c>
      <c r="B40" s="395"/>
      <c r="C40" s="389"/>
      <c r="D40" s="380"/>
      <c r="E40" s="388">
        <f>Application!AF618</f>
        <v>729416</v>
      </c>
      <c r="F40" s="388"/>
      <c r="G40" s="388">
        <f>$E$40</f>
        <v>729416</v>
      </c>
      <c r="H40" s="388"/>
      <c r="I40" s="388">
        <f>$E$40</f>
        <v>729416</v>
      </c>
      <c r="J40" s="388"/>
      <c r="K40" s="388">
        <f>$E$40</f>
        <v>729416</v>
      </c>
      <c r="L40" s="388"/>
      <c r="M40" s="388">
        <f>$E$40</f>
        <v>729416</v>
      </c>
      <c r="N40" s="388"/>
      <c r="O40" s="388">
        <f>$E$40</f>
        <v>729416</v>
      </c>
      <c r="P40" s="388"/>
      <c r="Q40" s="388">
        <f>$E$40</f>
        <v>729416</v>
      </c>
      <c r="R40" s="388"/>
      <c r="S40" s="388">
        <f>$E$40</f>
        <v>729416</v>
      </c>
      <c r="T40" s="388"/>
      <c r="U40" s="388">
        <f>$E$40</f>
        <v>729416</v>
      </c>
      <c r="V40" s="388"/>
      <c r="W40" s="388">
        <f>$E$40</f>
        <v>729416</v>
      </c>
      <c r="X40" s="388"/>
      <c r="Y40" s="388">
        <f>$E$40</f>
        <v>729416</v>
      </c>
      <c r="Z40" s="388"/>
      <c r="AA40" s="388">
        <f>$E$40</f>
        <v>729416</v>
      </c>
      <c r="AB40" s="388"/>
      <c r="AC40" s="388">
        <f>$E$40</f>
        <v>729416</v>
      </c>
      <c r="AD40" s="388"/>
      <c r="AE40" s="388">
        <f>$E$40</f>
        <v>729416</v>
      </c>
      <c r="AF40" s="388"/>
      <c r="AG40" s="388">
        <f>$E$40</f>
        <v>729416</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399"/>
      <c r="F42" s="391"/>
      <c r="G42" s="399">
        <f>$E$42</f>
        <v>0</v>
      </c>
      <c r="H42" s="391"/>
      <c r="I42" s="399">
        <f>$E$42</f>
        <v>0</v>
      </c>
      <c r="J42" s="391"/>
      <c r="K42" s="399">
        <f>$E$42</f>
        <v>0</v>
      </c>
      <c r="L42" s="391"/>
      <c r="M42" s="399">
        <f>$E$42</f>
        <v>0</v>
      </c>
      <c r="N42" s="391"/>
      <c r="O42" s="399">
        <f>$E$42</f>
        <v>0</v>
      </c>
      <c r="P42" s="391"/>
      <c r="Q42" s="399">
        <f>$E$42</f>
        <v>0</v>
      </c>
      <c r="R42" s="391"/>
      <c r="S42" s="399">
        <f>$E$42</f>
        <v>0</v>
      </c>
      <c r="T42" s="391"/>
      <c r="U42" s="399">
        <f>$E$42</f>
        <v>0</v>
      </c>
      <c r="V42" s="391"/>
      <c r="W42" s="399">
        <f>$E$42</f>
        <v>0</v>
      </c>
      <c r="X42" s="391"/>
      <c r="Y42" s="399">
        <f>$E$42</f>
        <v>0</v>
      </c>
      <c r="Z42" s="391"/>
      <c r="AA42" s="399">
        <f>$E$42</f>
        <v>0</v>
      </c>
      <c r="AB42" s="391"/>
      <c r="AC42" s="399">
        <f>$E$42</f>
        <v>0</v>
      </c>
      <c r="AD42" s="391"/>
      <c r="AE42" s="399">
        <f>$E$42</f>
        <v>0</v>
      </c>
      <c r="AF42" s="391"/>
      <c r="AG42" s="399">
        <f>$E$42</f>
        <v>0</v>
      </c>
      <c r="AH42" s="380"/>
      <c r="AI42" s="380"/>
    </row>
    <row r="43" spans="1:35" ht="15">
      <c r="A43" s="392" t="s">
        <v>1132</v>
      </c>
      <c r="B43" s="392"/>
      <c r="C43" s="393"/>
      <c r="D43" s="392"/>
      <c r="E43" s="392">
        <f>SUM(E40:E42)</f>
        <v>729416</v>
      </c>
      <c r="F43" s="392"/>
      <c r="G43" s="392">
        <f>SUM(G40:G42)</f>
        <v>729416</v>
      </c>
      <c r="H43" s="392"/>
      <c r="I43" s="392">
        <f>SUM(I40:I42)</f>
        <v>729416</v>
      </c>
      <c r="J43" s="392"/>
      <c r="K43" s="392">
        <f>SUM(K40:K42)</f>
        <v>729416</v>
      </c>
      <c r="L43" s="392"/>
      <c r="M43" s="392">
        <f>SUM(M40:M42)</f>
        <v>729416</v>
      </c>
      <c r="N43" s="392"/>
      <c r="O43" s="392">
        <f>SUM(O40:O42)</f>
        <v>729416</v>
      </c>
      <c r="P43" s="392"/>
      <c r="Q43" s="392">
        <f>SUM(Q40:Q42)</f>
        <v>729416</v>
      </c>
      <c r="R43" s="392"/>
      <c r="S43" s="392">
        <f>SUM(S40:S42)</f>
        <v>729416</v>
      </c>
      <c r="T43" s="392"/>
      <c r="U43" s="392">
        <f>SUM(U40:U42)</f>
        <v>729416</v>
      </c>
      <c r="V43" s="392"/>
      <c r="W43" s="392">
        <f>SUM(W40:W42)</f>
        <v>729416</v>
      </c>
      <c r="X43" s="392"/>
      <c r="Y43" s="392">
        <f>SUM(Y40:Y42)</f>
        <v>729416</v>
      </c>
      <c r="Z43" s="392"/>
      <c r="AA43" s="392">
        <f>SUM(AA40:AA42)</f>
        <v>729416</v>
      </c>
      <c r="AB43" s="392"/>
      <c r="AC43" s="392">
        <f>SUM(AC40:AC42)</f>
        <v>729416</v>
      </c>
      <c r="AD43" s="392"/>
      <c r="AE43" s="392">
        <f>SUM(AE40:AE42)</f>
        <v>729416</v>
      </c>
      <c r="AF43" s="392"/>
      <c r="AG43" s="392">
        <f>SUM(AG40:AG42)</f>
        <v>729416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87371.600000000093</v>
      </c>
      <c r="F45" s="392"/>
      <c r="G45" s="392">
        <f>G37-G43</f>
        <v>103043.05499999993</v>
      </c>
      <c r="H45" s="392"/>
      <c r="I45" s="392">
        <f>I37-I43</f>
        <v>118920.06912500015</v>
      </c>
      <c r="J45" s="392"/>
      <c r="K45" s="392">
        <f>K37-K43</f>
        <v>135001.24586887471</v>
      </c>
      <c r="L45" s="392"/>
      <c r="M45" s="392">
        <f>M37-M43</f>
        <v>151284.92472028802</v>
      </c>
      <c r="N45" s="392"/>
      <c r="O45" s="392">
        <f>O37-O43</f>
        <v>167769.16653730813</v>
      </c>
      <c r="P45" s="392"/>
      <c r="Q45" s="392">
        <f>Q37-Q43</f>
        <v>184451.73827537033</v>
      </c>
      <c r="R45" s="392"/>
      <c r="S45" s="392">
        <f>S37-S43</f>
        <v>201330.09704257012</v>
      </c>
      <c r="T45" s="392"/>
      <c r="U45" s="392">
        <f>U37-U43</f>
        <v>218401.37345529674</v>
      </c>
      <c r="V45" s="392"/>
      <c r="W45" s="392">
        <f>W37-W43</f>
        <v>235662.3542661696</v>
      </c>
      <c r="X45" s="392"/>
      <c r="Y45" s="392">
        <f>Y37-Y43</f>
        <v>253109.46423518262</v>
      </c>
      <c r="Z45" s="392"/>
      <c r="AA45" s="392">
        <f>AA37-AA43</f>
        <v>270738.74721383979</v>
      </c>
      <c r="AB45" s="392"/>
      <c r="AC45" s="392">
        <f>AC37-AC43</f>
        <v>288545.8464109262</v>
      </c>
      <c r="AD45" s="392"/>
      <c r="AE45" s="392">
        <f>AE37-AE43</f>
        <v>306525.98380736087</v>
      </c>
      <c r="AF45" s="392"/>
      <c r="AG45" s="392">
        <f>AG37-AG43</f>
        <v>324673.93868633267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5">
      <c r="A47" s="396" t="s">
        <v>1134</v>
      </c>
      <c r="B47" s="396"/>
      <c r="C47" s="970" t="str">
        <f>IF(OR(E47&gt;8%,G47&gt;8%,I47&gt;8%),"ALERT","OK")</f>
        <v>OK</v>
      </c>
      <c r="D47" s="396"/>
      <c r="E47" s="396">
        <f>E45/(E4+E6+E8)</f>
        <v>5.9895744785868302E-2</v>
      </c>
      <c r="F47" s="396"/>
      <c r="G47" s="396">
        <f>G45/(G4+G6+G8)</f>
        <v>6.8916076030690776E-2</v>
      </c>
      <c r="H47" s="396"/>
      <c r="I47" s="396">
        <f>I45/(I4+I6+I8)</f>
        <v>7.7594886633705007E-2</v>
      </c>
      <c r="J47" s="396"/>
      <c r="K47" s="396">
        <f>K45/(K4+K6+K8)</f>
        <v>8.5939309718651644E-2</v>
      </c>
      <c r="L47" s="396"/>
      <c r="M47" s="396">
        <f>M45/(M4+M6+M8)</f>
        <v>9.3956292810467301E-2</v>
      </c>
      <c r="N47" s="396"/>
      <c r="O47" s="396">
        <f>O45/(O4+O6+O8)</f>
        <v>0.10165260224844862</v>
      </c>
      <c r="P47" s="396"/>
      <c r="Q47" s="396">
        <f>Q45/(Q4+Q6+Q8)</f>
        <v>0.10903482749067619</v>
      </c>
      <c r="R47" s="396"/>
      <c r="S47" s="396">
        <f>S45/(S4+S6+S8)</f>
        <v>0.1161093853123306</v>
      </c>
      <c r="T47" s="396"/>
      <c r="U47" s="396">
        <f>U45/(U4+U6+U8)</f>
        <v>0.12288252390048335</v>
      </c>
      <c r="V47" s="396"/>
      <c r="W47" s="396">
        <f>W45/(W4+W6+W8)</f>
        <v>0.12936032684787374</v>
      </c>
      <c r="X47" s="396"/>
      <c r="Y47" s="396">
        <f>Y45/(Y4+Y6+Y8)</f>
        <v>0.13554871704812671</v>
      </c>
      <c r="Z47" s="396"/>
      <c r="AA47" s="396">
        <f>AA45/(AA4+AA6+AA8)</f>
        <v>0.14145346049480151</v>
      </c>
      <c r="AB47" s="396"/>
      <c r="AC47" s="396">
        <f>AC45/(AC4+AC6+AC8)</f>
        <v>0.14708016998660745</v>
      </c>
      <c r="AD47" s="396"/>
      <c r="AE47" s="396">
        <f>AE45/(AE4+AE6+AE8)</f>
        <v>0.15243430874106431</v>
      </c>
      <c r="AF47" s="396"/>
      <c r="AG47" s="396">
        <f>AG45/(AG4+AG6+AG8)</f>
        <v>0.15752119391882491</v>
      </c>
      <c r="AH47" s="396"/>
      <c r="AI47" s="396"/>
    </row>
    <row r="48" spans="1:35" ht="15">
      <c r="A48" s="396" t="s">
        <v>1135</v>
      </c>
      <c r="B48" s="396"/>
      <c r="C48" s="970" t="str">
        <f>IF(OR(E48&gt;25%,G48&gt;25%,I48&gt;25%),"ALERT","OK")</f>
        <v>OK</v>
      </c>
      <c r="D48" s="396"/>
      <c r="E48" s="396">
        <f>E45/E43</f>
        <v>0.11978294964738927</v>
      </c>
      <c r="F48" s="396"/>
      <c r="G48" s="396">
        <f>G45/G43</f>
        <v>0.14126788417034988</v>
      </c>
      <c r="H48" s="396"/>
      <c r="I48" s="396">
        <f>I45/I43</f>
        <v>0.16303463198641127</v>
      </c>
      <c r="J48" s="396"/>
      <c r="K48" s="396">
        <f>K45/K43</f>
        <v>0.18508127854183992</v>
      </c>
      <c r="L48" s="396"/>
      <c r="M48" s="396">
        <f>M45/M43</f>
        <v>0.20740554734237804</v>
      </c>
      <c r="N48" s="396"/>
      <c r="O48" s="396">
        <f>O45/O43</f>
        <v>0.23000477990242624</v>
      </c>
      <c r="P48" s="396"/>
      <c r="Q48" s="396">
        <f>Q45/Q43</f>
        <v>0.25287591480769595</v>
      </c>
      <c r="R48" s="396"/>
      <c r="S48" s="396">
        <f>S45/S43</f>
        <v>0.27601546585565728</v>
      </c>
      <c r="T48" s="396"/>
      <c r="U48" s="396">
        <f>U45/U43</f>
        <v>0.29941949923678224</v>
      </c>
      <c r="V48" s="396"/>
      <c r="W48" s="396">
        <f>W45/W43</f>
        <v>0.32308360971814382</v>
      </c>
      <c r="X48" s="396"/>
      <c r="Y48" s="396">
        <f>Y45/Y43</f>
        <v>0.34700289578948451</v>
      </c>
      <c r="Z48" s="396"/>
      <c r="AA48" s="396">
        <f>AA45/AA43</f>
        <v>0.37117193373032642</v>
      </c>
      <c r="AB48" s="396"/>
      <c r="AC48" s="396">
        <f>AC45/AC43</f>
        <v>0.39558475055513753</v>
      </c>
      <c r="AD48" s="396"/>
      <c r="AE48" s="396">
        <f>AE45/AE43</f>
        <v>0.42023479579192241</v>
      </c>
      <c r="AF48" s="396"/>
      <c r="AG48" s="396">
        <f>AG45/AG43</f>
        <v>0.44511491204790227</v>
      </c>
      <c r="AH48" s="396"/>
      <c r="AI48" s="396"/>
    </row>
    <row r="49" spans="1:35" ht="15">
      <c r="A49" s="397" t="s">
        <v>1136</v>
      </c>
      <c r="B49" s="397"/>
      <c r="C49" s="970" t="str">
        <f>IF(OR(E49&gt;115%,G49&gt;115%,I49&gt;115%),"OK","ALERT")</f>
        <v>OK</v>
      </c>
      <c r="D49" s="397"/>
      <c r="E49" s="397">
        <f>E37/E43</f>
        <v>1.1197829496473892</v>
      </c>
      <c r="F49" s="397"/>
      <c r="G49" s="397">
        <f>G37/G43</f>
        <v>1.1412678841703499</v>
      </c>
      <c r="H49" s="397"/>
      <c r="I49" s="397">
        <f>I37/I43</f>
        <v>1.1630346319864113</v>
      </c>
      <c r="J49" s="397"/>
      <c r="K49" s="397">
        <f>K37/K43</f>
        <v>1.1850812785418399</v>
      </c>
      <c r="L49" s="397"/>
      <c r="M49" s="397">
        <f>M37/M43</f>
        <v>1.2074055473423781</v>
      </c>
      <c r="N49" s="397"/>
      <c r="O49" s="397">
        <f>O37/O43</f>
        <v>1.2300047799024263</v>
      </c>
      <c r="P49" s="397"/>
      <c r="Q49" s="397">
        <f>Q37/Q43</f>
        <v>1.252875914807696</v>
      </c>
      <c r="R49" s="397"/>
      <c r="S49" s="397">
        <f>S37/S43</f>
        <v>1.2760154658556573</v>
      </c>
      <c r="T49" s="397"/>
      <c r="U49" s="397">
        <f>U37/U43</f>
        <v>1.2994194992367822</v>
      </c>
      <c r="V49" s="397"/>
      <c r="W49" s="397">
        <f>W37/W43</f>
        <v>1.3230836097181438</v>
      </c>
      <c r="X49" s="397"/>
      <c r="Y49" s="397">
        <f>Y37/Y43</f>
        <v>1.3470028957894844</v>
      </c>
      <c r="Z49" s="397"/>
      <c r="AA49" s="397">
        <f>AA37/AA43</f>
        <v>1.3711719337303265</v>
      </c>
      <c r="AB49" s="397"/>
      <c r="AC49" s="397">
        <f>AC37/AC43</f>
        <v>1.3955847505551375</v>
      </c>
      <c r="AD49" s="397"/>
      <c r="AE49" s="397">
        <f>AE37/AE43</f>
        <v>1.4202347957919224</v>
      </c>
      <c r="AF49" s="397"/>
      <c r="AG49" s="397">
        <f>AG37/AG43</f>
        <v>1.4451149120479023</v>
      </c>
      <c r="AH49" s="397"/>
      <c r="AI49" s="397"/>
    </row>
    <row r="50" spans="1:35" ht="15">
      <c r="A50" s="398"/>
      <c r="B50" s="398"/>
      <c r="C50" s="971" t="str">
        <f>IF(AND(OR(C47="OK",C48="OK"),(C49="OK")),"OK","ALERT")</f>
        <v>OK</v>
      </c>
      <c r="D50" s="398"/>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399"/>
      <c r="AE50" s="399"/>
      <c r="AF50" s="399"/>
      <c r="AG50" s="399"/>
      <c r="AH50" s="380"/>
      <c r="AI50" s="380"/>
    </row>
    <row r="51" spans="1:35">
      <c r="A51" s="365" t="s">
        <v>1137</v>
      </c>
      <c r="B51" s="365"/>
      <c r="C51" s="400"/>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0"/>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5"/>
      <c r="D53" s="378"/>
      <c r="E53" s="403"/>
      <c r="F53" s="378"/>
      <c r="G53" s="837">
        <f>E53*$C$53</f>
        <v>0</v>
      </c>
      <c r="H53" s="837"/>
      <c r="I53" s="837">
        <f>G53*$C$53</f>
        <v>0</v>
      </c>
      <c r="J53" s="837"/>
      <c r="K53" s="837">
        <f>I53*$C$53</f>
        <v>0</v>
      </c>
      <c r="L53" s="837"/>
      <c r="M53" s="837">
        <f>K53*$C$53</f>
        <v>0</v>
      </c>
      <c r="N53" s="837"/>
      <c r="O53" s="837">
        <f>M53*$C$53</f>
        <v>0</v>
      </c>
      <c r="P53" s="837"/>
      <c r="Q53" s="837">
        <f>O53*$C$53</f>
        <v>0</v>
      </c>
      <c r="R53" s="837"/>
      <c r="S53" s="837">
        <f>Q53*$C$53</f>
        <v>0</v>
      </c>
      <c r="T53" s="837"/>
      <c r="U53" s="837">
        <f>S53*$C$53</f>
        <v>0</v>
      </c>
      <c r="V53" s="837"/>
      <c r="W53" s="837">
        <f>U53*$C$53</f>
        <v>0</v>
      </c>
      <c r="X53" s="837"/>
      <c r="Y53" s="837">
        <f>W53*$C$53</f>
        <v>0</v>
      </c>
      <c r="Z53" s="837"/>
      <c r="AA53" s="837">
        <f>Y53*$C$53</f>
        <v>0</v>
      </c>
      <c r="AB53" s="837"/>
      <c r="AC53" s="837">
        <f>AA53*$C$53</f>
        <v>0</v>
      </c>
      <c r="AD53" s="837"/>
      <c r="AE53" s="837">
        <f>AC53*$C$53</f>
        <v>0</v>
      </c>
      <c r="AF53" s="837"/>
      <c r="AG53" s="837">
        <f>AE53*$C$53</f>
        <v>0</v>
      </c>
      <c r="AH53" s="378"/>
      <c r="AI53" s="378"/>
    </row>
    <row r="54" spans="1:35">
      <c r="A54" s="365" t="s">
        <v>1139</v>
      </c>
      <c r="B54" s="365"/>
      <c r="C54" s="411"/>
      <c r="D54" s="365"/>
      <c r="E54" s="404"/>
      <c r="F54" s="384"/>
      <c r="G54" s="836">
        <f t="shared" ref="G54:AG57" si="14">E54*$C$53</f>
        <v>0</v>
      </c>
      <c r="H54" s="836"/>
      <c r="I54" s="836">
        <f t="shared" si="14"/>
        <v>0</v>
      </c>
      <c r="J54" s="836"/>
      <c r="K54" s="836">
        <f t="shared" si="14"/>
        <v>0</v>
      </c>
      <c r="L54" s="836"/>
      <c r="M54" s="836">
        <f t="shared" si="14"/>
        <v>0</v>
      </c>
      <c r="N54" s="836"/>
      <c r="O54" s="836">
        <f t="shared" si="14"/>
        <v>0</v>
      </c>
      <c r="P54" s="836"/>
      <c r="Q54" s="836">
        <f t="shared" si="14"/>
        <v>0</v>
      </c>
      <c r="R54" s="836"/>
      <c r="S54" s="836">
        <f t="shared" si="14"/>
        <v>0</v>
      </c>
      <c r="T54" s="836"/>
      <c r="U54" s="836">
        <f t="shared" si="14"/>
        <v>0</v>
      </c>
      <c r="V54" s="836"/>
      <c r="W54" s="836">
        <f t="shared" si="14"/>
        <v>0</v>
      </c>
      <c r="X54" s="836"/>
      <c r="Y54" s="836">
        <f t="shared" si="14"/>
        <v>0</v>
      </c>
      <c r="Z54" s="836"/>
      <c r="AA54" s="836">
        <f t="shared" si="14"/>
        <v>0</v>
      </c>
      <c r="AB54" s="836"/>
      <c r="AC54" s="836">
        <f t="shared" si="14"/>
        <v>0</v>
      </c>
      <c r="AD54" s="836"/>
      <c r="AE54" s="836">
        <f t="shared" si="14"/>
        <v>0</v>
      </c>
      <c r="AF54" s="836"/>
      <c r="AG54" s="836">
        <f t="shared" si="14"/>
        <v>0</v>
      </c>
      <c r="AH54" s="384"/>
      <c r="AI54" s="384"/>
    </row>
    <row r="55" spans="1:35">
      <c r="A55" s="365" t="s">
        <v>1140</v>
      </c>
      <c r="B55" s="365"/>
      <c r="C55" s="411"/>
      <c r="D55" s="365"/>
      <c r="E55" s="404"/>
      <c r="F55" s="384"/>
      <c r="G55" s="836">
        <f t="shared" si="14"/>
        <v>0</v>
      </c>
      <c r="H55" s="836"/>
      <c r="I55" s="836">
        <f t="shared" si="14"/>
        <v>0</v>
      </c>
      <c r="J55" s="836"/>
      <c r="K55" s="836">
        <f t="shared" si="14"/>
        <v>0</v>
      </c>
      <c r="L55" s="836"/>
      <c r="M55" s="836">
        <f t="shared" si="14"/>
        <v>0</v>
      </c>
      <c r="N55" s="836"/>
      <c r="O55" s="836">
        <f t="shared" si="14"/>
        <v>0</v>
      </c>
      <c r="P55" s="836"/>
      <c r="Q55" s="836">
        <f t="shared" si="14"/>
        <v>0</v>
      </c>
      <c r="R55" s="836"/>
      <c r="S55" s="836">
        <f t="shared" si="14"/>
        <v>0</v>
      </c>
      <c r="T55" s="836"/>
      <c r="U55" s="836">
        <f t="shared" si="14"/>
        <v>0</v>
      </c>
      <c r="V55" s="836"/>
      <c r="W55" s="836">
        <f t="shared" si="14"/>
        <v>0</v>
      </c>
      <c r="X55" s="836"/>
      <c r="Y55" s="836">
        <f t="shared" si="14"/>
        <v>0</v>
      </c>
      <c r="Z55" s="836"/>
      <c r="AA55" s="836">
        <f t="shared" si="14"/>
        <v>0</v>
      </c>
      <c r="AB55" s="836"/>
      <c r="AC55" s="836">
        <f t="shared" si="14"/>
        <v>0</v>
      </c>
      <c r="AD55" s="836"/>
      <c r="AE55" s="836">
        <f t="shared" si="14"/>
        <v>0</v>
      </c>
      <c r="AF55" s="836"/>
      <c r="AG55" s="836">
        <f t="shared" si="14"/>
        <v>0</v>
      </c>
      <c r="AH55" s="384"/>
      <c r="AI55" s="384"/>
    </row>
    <row r="56" spans="1:35">
      <c r="A56" s="402"/>
      <c r="B56" s="402"/>
      <c r="C56" s="411"/>
      <c r="D56" s="365"/>
      <c r="E56" s="404"/>
      <c r="F56" s="384"/>
      <c r="G56" s="836">
        <f t="shared" si="14"/>
        <v>0</v>
      </c>
      <c r="H56" s="836"/>
      <c r="I56" s="836">
        <f t="shared" si="14"/>
        <v>0</v>
      </c>
      <c r="J56" s="836"/>
      <c r="K56" s="836">
        <f t="shared" si="14"/>
        <v>0</v>
      </c>
      <c r="L56" s="836"/>
      <c r="M56" s="836">
        <f t="shared" si="14"/>
        <v>0</v>
      </c>
      <c r="N56" s="836"/>
      <c r="O56" s="836">
        <f t="shared" si="14"/>
        <v>0</v>
      </c>
      <c r="P56" s="836"/>
      <c r="Q56" s="836">
        <f t="shared" si="14"/>
        <v>0</v>
      </c>
      <c r="R56" s="836"/>
      <c r="S56" s="836">
        <f t="shared" si="14"/>
        <v>0</v>
      </c>
      <c r="T56" s="836"/>
      <c r="U56" s="836">
        <f t="shared" si="14"/>
        <v>0</v>
      </c>
      <c r="V56" s="836"/>
      <c r="W56" s="836">
        <f t="shared" si="14"/>
        <v>0</v>
      </c>
      <c r="X56" s="836"/>
      <c r="Y56" s="836">
        <f t="shared" si="14"/>
        <v>0</v>
      </c>
      <c r="Z56" s="836"/>
      <c r="AA56" s="836">
        <f t="shared" si="14"/>
        <v>0</v>
      </c>
      <c r="AB56" s="836"/>
      <c r="AC56" s="836">
        <f t="shared" si="14"/>
        <v>0</v>
      </c>
      <c r="AD56" s="836"/>
      <c r="AE56" s="836">
        <f t="shared" si="14"/>
        <v>0</v>
      </c>
      <c r="AF56" s="836"/>
      <c r="AG56" s="836">
        <f t="shared" si="14"/>
        <v>0</v>
      </c>
      <c r="AH56" s="384"/>
      <c r="AI56" s="384"/>
    </row>
    <row r="57" spans="1:35">
      <c r="A57" s="402"/>
      <c r="B57" s="402"/>
      <c r="C57" s="411"/>
      <c r="D57" s="365"/>
      <c r="E57" s="408"/>
      <c r="F57" s="384"/>
      <c r="G57" s="838">
        <f t="shared" si="14"/>
        <v>0</v>
      </c>
      <c r="H57" s="836"/>
      <c r="I57" s="838">
        <f t="shared" si="14"/>
        <v>0</v>
      </c>
      <c r="J57" s="836"/>
      <c r="K57" s="838">
        <f t="shared" si="14"/>
        <v>0</v>
      </c>
      <c r="L57" s="836"/>
      <c r="M57" s="838">
        <f t="shared" si="14"/>
        <v>0</v>
      </c>
      <c r="N57" s="836"/>
      <c r="O57" s="838">
        <f t="shared" si="14"/>
        <v>0</v>
      </c>
      <c r="P57" s="836"/>
      <c r="Q57" s="838">
        <f t="shared" si="14"/>
        <v>0</v>
      </c>
      <c r="R57" s="836"/>
      <c r="S57" s="838">
        <f t="shared" si="14"/>
        <v>0</v>
      </c>
      <c r="T57" s="836"/>
      <c r="U57" s="838">
        <f t="shared" si="14"/>
        <v>0</v>
      </c>
      <c r="V57" s="836"/>
      <c r="W57" s="838">
        <f t="shared" si="14"/>
        <v>0</v>
      </c>
      <c r="X57" s="836"/>
      <c r="Y57" s="838">
        <f t="shared" si="14"/>
        <v>0</v>
      </c>
      <c r="Z57" s="836"/>
      <c r="AA57" s="838">
        <f t="shared" si="14"/>
        <v>0</v>
      </c>
      <c r="AB57" s="836"/>
      <c r="AC57" s="838">
        <f t="shared" si="14"/>
        <v>0</v>
      </c>
      <c r="AD57" s="836"/>
      <c r="AE57" s="838">
        <f t="shared" si="14"/>
        <v>0</v>
      </c>
      <c r="AF57" s="836"/>
      <c r="AG57" s="838">
        <f t="shared" si="14"/>
        <v>0</v>
      </c>
      <c r="AH57" s="384"/>
      <c r="AI57" s="384"/>
    </row>
    <row r="58" spans="1:35">
      <c r="A58" s="378" t="s">
        <v>1141</v>
      </c>
      <c r="B58" s="365"/>
      <c r="C58" s="400"/>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0"/>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1"/>
      <c r="D60" s="378"/>
      <c r="E60" s="378">
        <f>E45-E58</f>
        <v>87371.600000000093</v>
      </c>
      <c r="F60" s="378"/>
      <c r="G60" s="378">
        <f>G45-G58</f>
        <v>103043.05499999993</v>
      </c>
      <c r="H60" s="378"/>
      <c r="I60" s="378">
        <f>I45-I58</f>
        <v>118920.06912500015</v>
      </c>
      <c r="J60" s="378"/>
      <c r="K60" s="378">
        <f>K45-K58</f>
        <v>135001.24586887471</v>
      </c>
      <c r="L60" s="378"/>
      <c r="M60" s="378">
        <f>M45-M58</f>
        <v>151284.92472028802</v>
      </c>
      <c r="N60" s="378"/>
      <c r="O60" s="378">
        <f>O45-O58</f>
        <v>167769.16653730813</v>
      </c>
      <c r="P60" s="378"/>
      <c r="Q60" s="378">
        <f>Q45-Q58</f>
        <v>184451.73827537033</v>
      </c>
      <c r="R60" s="378"/>
      <c r="S60" s="378">
        <f>S45-S58</f>
        <v>201330.09704257012</v>
      </c>
      <c r="T60" s="378"/>
      <c r="U60" s="378">
        <f>U45-U58</f>
        <v>218401.37345529674</v>
      </c>
      <c r="V60" s="378"/>
      <c r="W60" s="378">
        <f>W45-W58</f>
        <v>235662.3542661696</v>
      </c>
      <c r="X60" s="378"/>
      <c r="Y60" s="378">
        <f>Y45-Y58</f>
        <v>253109.46423518262</v>
      </c>
      <c r="Z60" s="378"/>
      <c r="AA60" s="378">
        <f>AA45-AA58</f>
        <v>270738.74721383979</v>
      </c>
      <c r="AB60" s="378"/>
      <c r="AC60" s="378">
        <f>AC45-AC58</f>
        <v>288545.8464109262</v>
      </c>
      <c r="AD60" s="378"/>
      <c r="AE60" s="378">
        <f>AE45-AE58</f>
        <v>306525.98380736087</v>
      </c>
      <c r="AF60" s="378"/>
      <c r="AG60" s="378">
        <f>AG45-AG58</f>
        <v>324673.93868633267</v>
      </c>
      <c r="AH60" s="378"/>
      <c r="AI60" s="378"/>
    </row>
    <row r="61" spans="1:35">
      <c r="A61" s="365"/>
      <c r="B61" s="365"/>
      <c r="C61" s="400"/>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0"/>
      <c r="D62" s="378"/>
      <c r="E62" s="403"/>
      <c r="F62" s="378"/>
      <c r="G62" s="839">
        <f>G60*$C$62</f>
        <v>0</v>
      </c>
      <c r="H62" s="378"/>
      <c r="I62" s="839">
        <f>I60*$C$62</f>
        <v>0</v>
      </c>
      <c r="J62" s="378"/>
      <c r="K62" s="839">
        <f>K60*$C$62</f>
        <v>0</v>
      </c>
      <c r="L62" s="378"/>
      <c r="M62" s="839">
        <f>M60*$C$62</f>
        <v>0</v>
      </c>
      <c r="N62" s="378"/>
      <c r="O62" s="839">
        <f>O60*$C$62</f>
        <v>0</v>
      </c>
      <c r="P62" s="378"/>
      <c r="Q62" s="839">
        <f>Q60*$C$62</f>
        <v>0</v>
      </c>
      <c r="R62" s="378"/>
      <c r="S62" s="839">
        <f>S60*$C$62</f>
        <v>0</v>
      </c>
      <c r="T62" s="378"/>
      <c r="U62" s="839">
        <f>U60*$C$62</f>
        <v>0</v>
      </c>
      <c r="V62" s="378"/>
      <c r="W62" s="839">
        <f>W60*$C$62</f>
        <v>0</v>
      </c>
      <c r="X62" s="378"/>
      <c r="Y62" s="839">
        <f>Y60*$C$62</f>
        <v>0</v>
      </c>
      <c r="Z62" s="378"/>
      <c r="AA62" s="839">
        <f>AA60*$C$62</f>
        <v>0</v>
      </c>
      <c r="AB62" s="378"/>
      <c r="AC62" s="839">
        <f>AC60*$C$62</f>
        <v>0</v>
      </c>
      <c r="AD62" s="378"/>
      <c r="AE62" s="839">
        <f>AE60*$C$62</f>
        <v>0</v>
      </c>
      <c r="AF62" s="378"/>
      <c r="AG62" s="839">
        <f>AG60*$C$62</f>
        <v>0</v>
      </c>
      <c r="AH62" s="378"/>
      <c r="AI62" s="378"/>
    </row>
    <row r="63" spans="1:35">
      <c r="A63" s="378"/>
      <c r="B63" s="378"/>
      <c r="C63" s="401"/>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0"/>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1"/>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3"/>
      <c r="B66" s="403"/>
      <c r="C66" s="401"/>
      <c r="D66" s="378"/>
      <c r="E66" s="403">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4"/>
      <c r="B67" s="404"/>
      <c r="C67" s="386"/>
      <c r="D67" s="384"/>
      <c r="E67" s="404">
        <f>$E60*$C$65</f>
        <v>0</v>
      </c>
      <c r="F67" s="384"/>
      <c r="G67" s="842">
        <f>G60*$C$65</f>
        <v>0</v>
      </c>
      <c r="H67" s="384"/>
      <c r="I67" s="842">
        <f>I60*$C$65</f>
        <v>0</v>
      </c>
      <c r="J67" s="384"/>
      <c r="K67" s="842">
        <f>K60*$C$65</f>
        <v>0</v>
      </c>
      <c r="L67" s="384"/>
      <c r="M67" s="842">
        <f>M60*$C$65</f>
        <v>0</v>
      </c>
      <c r="N67" s="384"/>
      <c r="O67" s="842">
        <f>O60*$C$65</f>
        <v>0</v>
      </c>
      <c r="P67" s="384"/>
      <c r="Q67" s="842">
        <f>Q60*$C$65</f>
        <v>0</v>
      </c>
      <c r="R67" s="384"/>
      <c r="S67" s="842">
        <f>S60*$C$65</f>
        <v>0</v>
      </c>
      <c r="T67" s="384"/>
      <c r="U67" s="842">
        <f>U60*$C$65</f>
        <v>0</v>
      </c>
      <c r="V67" s="384"/>
      <c r="W67" s="842">
        <f>W60*$C$65</f>
        <v>0</v>
      </c>
      <c r="X67" s="384"/>
      <c r="Y67" s="842">
        <f>Y60*$C$65</f>
        <v>0</v>
      </c>
      <c r="Z67" s="384"/>
      <c r="AA67" s="842">
        <f>AA60*$C$65</f>
        <v>0</v>
      </c>
      <c r="AB67" s="384"/>
      <c r="AC67" s="842">
        <f>AC60*$C$65</f>
        <v>0</v>
      </c>
      <c r="AD67" s="384"/>
      <c r="AE67" s="842">
        <f>AE60*$C$65</f>
        <v>0</v>
      </c>
      <c r="AF67" s="384"/>
      <c r="AG67" s="842">
        <f>AG60*$C$65</f>
        <v>0</v>
      </c>
      <c r="AH67" s="384"/>
      <c r="AI67" s="384"/>
    </row>
    <row r="68" spans="1:35">
      <c r="A68" s="403"/>
      <c r="B68" s="403"/>
      <c r="C68" s="401"/>
      <c r="D68" s="378"/>
      <c r="E68" s="403"/>
      <c r="F68" s="378"/>
      <c r="G68" s="842">
        <f>G60*$C$65</f>
        <v>0</v>
      </c>
      <c r="H68" s="378"/>
      <c r="I68" s="842">
        <f>I60*$C$65</f>
        <v>0</v>
      </c>
      <c r="J68" s="378"/>
      <c r="K68" s="842">
        <f>K60*$C$65</f>
        <v>0</v>
      </c>
      <c r="L68" s="378"/>
      <c r="M68" s="842">
        <f>M60*$C$65</f>
        <v>0</v>
      </c>
      <c r="N68" s="378"/>
      <c r="O68" s="842">
        <f>O60*$C$65</f>
        <v>0</v>
      </c>
      <c r="P68" s="378"/>
      <c r="Q68" s="842">
        <f>Q60*$C$65</f>
        <v>0</v>
      </c>
      <c r="R68" s="378"/>
      <c r="S68" s="842">
        <f>S60*$C$65</f>
        <v>0</v>
      </c>
      <c r="T68" s="378"/>
      <c r="U68" s="842">
        <f>U60*$C$65</f>
        <v>0</v>
      </c>
      <c r="V68" s="378"/>
      <c r="W68" s="842">
        <f>W60*$C$65</f>
        <v>0</v>
      </c>
      <c r="X68" s="378"/>
      <c r="Y68" s="842">
        <f>Y60*$C$65</f>
        <v>0</v>
      </c>
      <c r="Z68" s="378"/>
      <c r="AA68" s="842">
        <f>AA60*$C$65</f>
        <v>0</v>
      </c>
      <c r="AB68" s="378"/>
      <c r="AC68" s="842">
        <f>AC60*$C$65</f>
        <v>0</v>
      </c>
      <c r="AD68" s="378"/>
      <c r="AE68" s="842">
        <f>AE60*$C$65</f>
        <v>0</v>
      </c>
      <c r="AF68" s="378"/>
      <c r="AG68" s="842">
        <f>AG60*$C$65</f>
        <v>0</v>
      </c>
      <c r="AH68" s="378"/>
      <c r="AI68" s="378"/>
    </row>
    <row r="69" spans="1:35">
      <c r="A69" s="404"/>
      <c r="B69" s="404"/>
      <c r="C69" s="386"/>
      <c r="D69" s="384"/>
      <c r="E69" s="408"/>
      <c r="F69" s="384"/>
      <c r="G69" s="843">
        <f>G60*$C$65</f>
        <v>0</v>
      </c>
      <c r="H69" s="384"/>
      <c r="I69" s="843">
        <f>I60*$C$65</f>
        <v>0</v>
      </c>
      <c r="J69" s="384"/>
      <c r="K69" s="843">
        <f>K60*$C$65</f>
        <v>0</v>
      </c>
      <c r="L69" s="384"/>
      <c r="M69" s="843">
        <f>M60*$C$65</f>
        <v>0</v>
      </c>
      <c r="N69" s="384"/>
      <c r="O69" s="843">
        <f>O60*$C$65</f>
        <v>0</v>
      </c>
      <c r="P69" s="384"/>
      <c r="Q69" s="843">
        <f>Q60*$C$65</f>
        <v>0</v>
      </c>
      <c r="R69" s="384"/>
      <c r="S69" s="843">
        <f>S60*$C$65</f>
        <v>0</v>
      </c>
      <c r="T69" s="384"/>
      <c r="U69" s="843">
        <f>U60*$C$65</f>
        <v>0</v>
      </c>
      <c r="V69" s="384"/>
      <c r="W69" s="843">
        <f>W60*$C$65</f>
        <v>0</v>
      </c>
      <c r="X69" s="384"/>
      <c r="Y69" s="843">
        <f>Y60*$C$65</f>
        <v>0</v>
      </c>
      <c r="Z69" s="384"/>
      <c r="AA69" s="843">
        <f>AA60*$C$65</f>
        <v>0</v>
      </c>
      <c r="AB69" s="384"/>
      <c r="AC69" s="843">
        <f>AC60*$C$65</f>
        <v>0</v>
      </c>
      <c r="AD69" s="384"/>
      <c r="AE69" s="843">
        <f>AE60*$C$65</f>
        <v>0</v>
      </c>
      <c r="AF69" s="384"/>
      <c r="AG69" s="843">
        <f>AG60*$C$65</f>
        <v>0</v>
      </c>
      <c r="AH69" s="384"/>
      <c r="AI69" s="384"/>
    </row>
    <row r="70" spans="1:35">
      <c r="A70" s="839"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39" t="s">
        <v>2037</v>
      </c>
      <c r="B72" s="384"/>
      <c r="C72" s="386"/>
      <c r="D72" s="384"/>
      <c r="E72" s="378">
        <f>E60-E62-E70</f>
        <v>87371.600000000093</v>
      </c>
      <c r="F72" s="384"/>
      <c r="G72" s="378">
        <f>G60-G62-G70</f>
        <v>103043.05499999993</v>
      </c>
      <c r="H72" s="384"/>
      <c r="I72" s="378">
        <f>I60-I62-I70</f>
        <v>118920.06912500015</v>
      </c>
      <c r="J72" s="384"/>
      <c r="K72" s="378">
        <f>K60-K62-K70</f>
        <v>135001.24586887471</v>
      </c>
      <c r="L72" s="384"/>
      <c r="M72" s="378">
        <f>M60-M62-M70</f>
        <v>151284.92472028802</v>
      </c>
      <c r="N72" s="384"/>
      <c r="O72" s="378">
        <f>O60-O62-O70</f>
        <v>167769.16653730813</v>
      </c>
      <c r="P72" s="384"/>
      <c r="Q72" s="378">
        <f>Q60-Q62-Q70</f>
        <v>184451.73827537033</v>
      </c>
      <c r="R72" s="384"/>
      <c r="S72" s="378">
        <f>S60-S62-S70</f>
        <v>201330.09704257012</v>
      </c>
      <c r="T72" s="384"/>
      <c r="U72" s="378">
        <f>U60-U62-U70</f>
        <v>218401.37345529674</v>
      </c>
      <c r="V72" s="384"/>
      <c r="W72" s="378">
        <f>W60-W62-W70</f>
        <v>235662.3542661696</v>
      </c>
      <c r="X72" s="384"/>
      <c r="Y72" s="378">
        <f>Y60-Y62-Y70</f>
        <v>253109.46423518262</v>
      </c>
      <c r="Z72" s="384"/>
      <c r="AA72" s="378">
        <f>AA60-AA62-AA70</f>
        <v>270738.74721383979</v>
      </c>
      <c r="AB72" s="384"/>
      <c r="AC72" s="378">
        <f>AC60-AC62-AC70</f>
        <v>288545.8464109262</v>
      </c>
      <c r="AD72" s="384"/>
      <c r="AE72" s="378">
        <f>AE60-AE62-AE70</f>
        <v>306525.98380736087</v>
      </c>
      <c r="AF72" s="384"/>
      <c r="AG72" s="378">
        <f>AG60-AG62-AG70</f>
        <v>324673.93868633267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9" t="s">
        <v>1145</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5"/>
      <c r="AI77" s="405"/>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conditionalFormatting sqref="C47:C50">
    <cfRule type="containsText" dxfId="3" priority="1" operator="containsText" text="ALERT">
      <formula>NOT(ISERROR(SEARCH("ALERT",C47)))</formula>
    </cfRule>
    <cfRule type="containsText" dxfId="2" priority="2" operator="containsText" text="OK">
      <formula>NOT(ISERROR(SEARCH("OK",C47)))</formula>
    </cfRule>
  </conditionalFormatting>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O15" sqref="O1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0" t="s">
        <v>1217</v>
      </c>
      <c r="B1" s="1960"/>
      <c r="C1" s="1960"/>
      <c r="D1" s="1960"/>
      <c r="E1" s="1960"/>
      <c r="F1" s="1960"/>
      <c r="G1" s="1960"/>
      <c r="H1" s="1960"/>
      <c r="I1" s="1960"/>
    </row>
    <row r="2" spans="1:9">
      <c r="A2" s="612"/>
      <c r="B2" s="612"/>
      <c r="C2" s="612"/>
      <c r="D2" s="612"/>
      <c r="E2" s="612"/>
      <c r="F2" s="612"/>
      <c r="G2" s="612"/>
      <c r="H2" s="612"/>
      <c r="I2" s="612"/>
    </row>
    <row r="3" spans="1:9" ht="105" customHeight="1">
      <c r="A3" s="613" t="s">
        <v>1210</v>
      </c>
      <c r="B3" s="613" t="s">
        <v>1425</v>
      </c>
      <c r="C3" s="480" t="s">
        <v>1212</v>
      </c>
      <c r="D3" s="612"/>
      <c r="E3" s="480" t="s">
        <v>1213</v>
      </c>
      <c r="F3" s="613" t="s">
        <v>1214</v>
      </c>
      <c r="G3" s="614"/>
      <c r="H3" s="613" t="s">
        <v>1211</v>
      </c>
      <c r="I3" s="613" t="s">
        <v>1215</v>
      </c>
    </row>
    <row r="4" spans="1:9">
      <c r="A4" s="615" t="str">
        <f>Application!$B692</f>
        <v>SRO/Studio</v>
      </c>
      <c r="B4" s="962">
        <f>Application!$G692</f>
        <v>1</v>
      </c>
      <c r="C4" s="615">
        <f>Application!$O692</f>
        <v>604</v>
      </c>
      <c r="D4" s="616"/>
      <c r="E4" s="960">
        <v>1395</v>
      </c>
      <c r="F4" s="615">
        <f>$E4*$B4</f>
        <v>1395</v>
      </c>
      <c r="G4" s="616"/>
      <c r="H4" s="615">
        <f>IF($E4=0,0,MAX($E4-$C4,0))</f>
        <v>791</v>
      </c>
      <c r="I4" s="615">
        <f>IF($H4=0,0,($H4*$B4))</f>
        <v>791</v>
      </c>
    </row>
    <row r="5" spans="1:9">
      <c r="A5" s="615" t="str">
        <f>Application!$B693</f>
        <v>SRO/Studio</v>
      </c>
      <c r="B5" s="961">
        <f>Application!$G693</f>
        <v>1</v>
      </c>
      <c r="C5" s="615">
        <f>Application!$O693</f>
        <v>916</v>
      </c>
      <c r="D5" s="616"/>
      <c r="E5" s="960">
        <v>1395</v>
      </c>
      <c r="F5" s="615">
        <f t="shared" ref="F5:F28" si="0">$E5*$B5</f>
        <v>1395</v>
      </c>
      <c r="G5" s="616"/>
      <c r="H5" s="615">
        <f t="shared" ref="H5:H28" si="1">IF($E5=0,0,MAX($E5-$C5,0))</f>
        <v>479</v>
      </c>
      <c r="I5" s="615">
        <f t="shared" ref="I5:I28" si="2">IF($H5=0,0,($H5*$B5))</f>
        <v>479</v>
      </c>
    </row>
    <row r="6" spans="1:9">
      <c r="A6" s="615" t="str">
        <f>Application!$B694</f>
        <v>1 Bedroom</v>
      </c>
      <c r="B6" s="961">
        <f>Application!$G694</f>
        <v>2</v>
      </c>
      <c r="C6" s="615">
        <f>Application!$O694</f>
        <v>642</v>
      </c>
      <c r="D6" s="616"/>
      <c r="E6" s="960">
        <v>1553</v>
      </c>
      <c r="F6" s="615">
        <f t="shared" si="0"/>
        <v>3106</v>
      </c>
      <c r="G6" s="616"/>
      <c r="H6" s="615">
        <f t="shared" si="1"/>
        <v>911</v>
      </c>
      <c r="I6" s="615">
        <f t="shared" si="2"/>
        <v>1822</v>
      </c>
    </row>
    <row r="7" spans="1:9">
      <c r="A7" s="615" t="str">
        <f>Application!$B695</f>
        <v>1 Bedroom</v>
      </c>
      <c r="B7" s="961">
        <f>Application!$G695</f>
        <v>4</v>
      </c>
      <c r="C7" s="615">
        <f>Application!$O695</f>
        <v>977</v>
      </c>
      <c r="D7" s="616"/>
      <c r="E7" s="960">
        <v>1531</v>
      </c>
      <c r="F7" s="615">
        <f t="shared" si="0"/>
        <v>6124</v>
      </c>
      <c r="G7" s="616"/>
      <c r="H7" s="615">
        <f t="shared" si="1"/>
        <v>554</v>
      </c>
      <c r="I7" s="615">
        <f t="shared" si="2"/>
        <v>2216</v>
      </c>
    </row>
    <row r="8" spans="1:9">
      <c r="A8" s="615" t="str">
        <f>Application!$B696</f>
        <v>1 Bedroom</v>
      </c>
      <c r="B8" s="961">
        <f>Application!$G696</f>
        <v>5</v>
      </c>
      <c r="C8" s="615">
        <f>Application!$O696</f>
        <v>1089</v>
      </c>
      <c r="D8" s="616"/>
      <c r="E8" s="960">
        <v>1531</v>
      </c>
      <c r="F8" s="615">
        <f t="shared" si="0"/>
        <v>7655</v>
      </c>
      <c r="G8" s="616"/>
      <c r="H8" s="615">
        <f t="shared" si="1"/>
        <v>442</v>
      </c>
      <c r="I8" s="615">
        <f t="shared" si="2"/>
        <v>2210</v>
      </c>
    </row>
    <row r="9" spans="1:9">
      <c r="A9" s="615" t="str">
        <f>Application!$B697</f>
        <v>1 Bedroom</v>
      </c>
      <c r="B9" s="961">
        <f>Application!$G697</f>
        <v>5</v>
      </c>
      <c r="C9" s="615">
        <f>Application!$O697</f>
        <v>1312</v>
      </c>
      <c r="D9" s="616"/>
      <c r="E9" s="960">
        <v>1531</v>
      </c>
      <c r="F9" s="615">
        <f t="shared" si="0"/>
        <v>7655</v>
      </c>
      <c r="G9" s="616"/>
      <c r="H9" s="615">
        <f t="shared" si="1"/>
        <v>219</v>
      </c>
      <c r="I9" s="615">
        <f t="shared" si="2"/>
        <v>1095</v>
      </c>
    </row>
    <row r="10" spans="1:9">
      <c r="A10" s="615">
        <f>Application!$B698</f>
        <v>0</v>
      </c>
      <c r="B10" s="961">
        <f>Application!$G698</f>
        <v>0</v>
      </c>
      <c r="C10" s="615">
        <f>Application!$O698</f>
        <v>0</v>
      </c>
      <c r="D10" s="616"/>
      <c r="E10" s="960"/>
      <c r="F10" s="615">
        <f t="shared" si="0"/>
        <v>0</v>
      </c>
      <c r="G10" s="616"/>
      <c r="H10" s="615">
        <f t="shared" si="1"/>
        <v>0</v>
      </c>
      <c r="I10" s="615">
        <f t="shared" si="2"/>
        <v>0</v>
      </c>
    </row>
    <row r="11" spans="1:9">
      <c r="A11" s="615" t="str">
        <f>Application!$B699</f>
        <v>2 Bedrooms</v>
      </c>
      <c r="B11" s="961">
        <f>Application!$G699</f>
        <v>7</v>
      </c>
      <c r="C11" s="615">
        <f>Application!$O699</f>
        <v>762</v>
      </c>
      <c r="D11" s="616"/>
      <c r="E11" s="960">
        <v>1658</v>
      </c>
      <c r="F11" s="615">
        <f t="shared" si="0"/>
        <v>11606</v>
      </c>
      <c r="G11" s="616"/>
      <c r="H11" s="615">
        <f t="shared" si="1"/>
        <v>896</v>
      </c>
      <c r="I11" s="615">
        <f t="shared" si="2"/>
        <v>6272</v>
      </c>
    </row>
    <row r="12" spans="1:9">
      <c r="A12" s="615" t="str">
        <f>Application!$B700</f>
        <v>2 Bedrooms</v>
      </c>
      <c r="B12" s="961">
        <f>Application!$G700</f>
        <v>1</v>
      </c>
      <c r="C12" s="615">
        <f>Application!$O700</f>
        <v>1164</v>
      </c>
      <c r="D12" s="616"/>
      <c r="E12" s="960">
        <v>1658</v>
      </c>
      <c r="F12" s="615">
        <f t="shared" si="0"/>
        <v>1658</v>
      </c>
      <c r="G12" s="616"/>
      <c r="H12" s="615">
        <f t="shared" si="1"/>
        <v>494</v>
      </c>
      <c r="I12" s="615">
        <f t="shared" si="2"/>
        <v>494</v>
      </c>
    </row>
    <row r="13" spans="1:9">
      <c r="A13" s="615" t="str">
        <f>Application!$B701</f>
        <v>2 Bedrooms</v>
      </c>
      <c r="B13" s="961">
        <f>Application!$G701</f>
        <v>6</v>
      </c>
      <c r="C13" s="615">
        <f>Application!$O701</f>
        <v>1164</v>
      </c>
      <c r="D13" s="616"/>
      <c r="E13" s="960">
        <v>1669</v>
      </c>
      <c r="F13" s="615">
        <f t="shared" si="0"/>
        <v>10014</v>
      </c>
      <c r="G13" s="616"/>
      <c r="H13" s="615">
        <f t="shared" si="1"/>
        <v>505</v>
      </c>
      <c r="I13" s="615">
        <f t="shared" si="2"/>
        <v>3030</v>
      </c>
    </row>
    <row r="14" spans="1:9">
      <c r="A14" s="615" t="str">
        <f>Application!$B702</f>
        <v>2 Bedrooms</v>
      </c>
      <c r="B14" s="961">
        <f>Application!$G702</f>
        <v>4</v>
      </c>
      <c r="C14" s="615">
        <f>Application!$O702</f>
        <v>1164</v>
      </c>
      <c r="D14" s="616"/>
      <c r="E14" s="960">
        <v>1669</v>
      </c>
      <c r="F14" s="615">
        <f t="shared" si="0"/>
        <v>6676</v>
      </c>
      <c r="G14" s="616"/>
      <c r="H14" s="615">
        <f t="shared" si="1"/>
        <v>505</v>
      </c>
      <c r="I14" s="615">
        <f t="shared" si="2"/>
        <v>2020</v>
      </c>
    </row>
    <row r="15" spans="1:9">
      <c r="A15" s="615" t="str">
        <f>Application!$B703</f>
        <v>2 Bedrooms</v>
      </c>
      <c r="B15" s="961">
        <f>Application!$G703</f>
        <v>8</v>
      </c>
      <c r="C15" s="615">
        <f>Application!$O703</f>
        <v>1298</v>
      </c>
      <c r="D15" s="616"/>
      <c r="E15" s="960">
        <v>1658</v>
      </c>
      <c r="F15" s="615">
        <f t="shared" si="0"/>
        <v>13264</v>
      </c>
      <c r="G15" s="616"/>
      <c r="H15" s="615">
        <f t="shared" si="1"/>
        <v>360</v>
      </c>
      <c r="I15" s="615">
        <f t="shared" si="2"/>
        <v>2880</v>
      </c>
    </row>
    <row r="16" spans="1:9">
      <c r="A16" s="615" t="str">
        <f>Application!$B704</f>
        <v>2 Bedrooms</v>
      </c>
      <c r="B16" s="961">
        <f>Application!$G704</f>
        <v>6</v>
      </c>
      <c r="C16" s="615">
        <f>Application!$O704</f>
        <v>1298</v>
      </c>
      <c r="D16" s="616"/>
      <c r="E16" s="960">
        <v>1811</v>
      </c>
      <c r="F16" s="615">
        <f t="shared" si="0"/>
        <v>10866</v>
      </c>
      <c r="G16" s="616"/>
      <c r="H16" s="615">
        <f t="shared" si="1"/>
        <v>513</v>
      </c>
      <c r="I16" s="615">
        <f t="shared" si="2"/>
        <v>3078</v>
      </c>
    </row>
    <row r="17" spans="1:9">
      <c r="A17" s="615" t="str">
        <f>Application!$B705</f>
        <v>2 Bedrooms</v>
      </c>
      <c r="B17" s="961">
        <f>Application!$G705</f>
        <v>3</v>
      </c>
      <c r="C17" s="615">
        <f>Application!$O705</f>
        <v>1566</v>
      </c>
      <c r="D17" s="616"/>
      <c r="E17" s="960">
        <v>1706</v>
      </c>
      <c r="F17" s="615">
        <f t="shared" si="0"/>
        <v>5118</v>
      </c>
      <c r="G17" s="616"/>
      <c r="H17" s="615">
        <f t="shared" si="1"/>
        <v>140</v>
      </c>
      <c r="I17" s="615">
        <f t="shared" si="2"/>
        <v>420</v>
      </c>
    </row>
    <row r="18" spans="1:9">
      <c r="A18" s="615" t="str">
        <f>Application!$B706</f>
        <v>2 Bedrooms</v>
      </c>
      <c r="B18" s="961">
        <f>Application!$G706</f>
        <v>18</v>
      </c>
      <c r="C18" s="615">
        <f>Application!$O706</f>
        <v>1566</v>
      </c>
      <c r="D18" s="616"/>
      <c r="E18" s="960">
        <v>1684</v>
      </c>
      <c r="F18" s="615">
        <f t="shared" si="0"/>
        <v>30312</v>
      </c>
      <c r="G18" s="616"/>
      <c r="H18" s="615">
        <f t="shared" si="1"/>
        <v>118</v>
      </c>
      <c r="I18" s="615">
        <f t="shared" si="2"/>
        <v>2124</v>
      </c>
    </row>
    <row r="19" spans="1:9">
      <c r="A19" s="615" t="str">
        <f>Application!$B707</f>
        <v>3 Bedrooms</v>
      </c>
      <c r="B19" s="961">
        <f>Application!$G707</f>
        <v>1</v>
      </c>
      <c r="C19" s="615">
        <f>Application!$O707</f>
        <v>856</v>
      </c>
      <c r="D19" s="616"/>
      <c r="E19" s="960">
        <v>2200</v>
      </c>
      <c r="F19" s="615">
        <f t="shared" si="0"/>
        <v>2200</v>
      </c>
      <c r="G19" s="616"/>
      <c r="H19" s="615">
        <f t="shared" si="1"/>
        <v>1344</v>
      </c>
      <c r="I19" s="615">
        <f t="shared" si="2"/>
        <v>1344</v>
      </c>
    </row>
    <row r="20" spans="1:9">
      <c r="A20" s="615" t="str">
        <f>Application!$B708</f>
        <v>3 Bedrooms</v>
      </c>
      <c r="B20" s="961">
        <f>Application!$G708</f>
        <v>1</v>
      </c>
      <c r="C20" s="615">
        <f>Application!$O708</f>
        <v>1321</v>
      </c>
      <c r="D20" s="616"/>
      <c r="E20" s="960">
        <v>2200</v>
      </c>
      <c r="F20" s="615">
        <f t="shared" si="0"/>
        <v>2200</v>
      </c>
      <c r="G20" s="616"/>
      <c r="H20" s="615">
        <f t="shared" si="1"/>
        <v>879</v>
      </c>
      <c r="I20" s="615">
        <f t="shared" si="2"/>
        <v>879</v>
      </c>
    </row>
    <row r="21" spans="1:9">
      <c r="A21" s="615">
        <f>Application!$B709</f>
        <v>0</v>
      </c>
      <c r="B21" s="961">
        <f>Application!$G709</f>
        <v>0</v>
      </c>
      <c r="C21" s="615">
        <f>Application!$O709</f>
        <v>0</v>
      </c>
      <c r="D21" s="616"/>
      <c r="E21" s="960"/>
      <c r="F21" s="615">
        <f t="shared" si="0"/>
        <v>0</v>
      </c>
      <c r="G21" s="616"/>
      <c r="H21" s="615">
        <f t="shared" si="1"/>
        <v>0</v>
      </c>
      <c r="I21" s="615">
        <f t="shared" si="2"/>
        <v>0</v>
      </c>
    </row>
    <row r="22" spans="1:9">
      <c r="A22" s="615">
        <f>Application!$B710</f>
        <v>0</v>
      </c>
      <c r="B22" s="961">
        <f>Application!$G710</f>
        <v>0</v>
      </c>
      <c r="C22" s="615">
        <f>Application!$O710</f>
        <v>0</v>
      </c>
      <c r="D22" s="616"/>
      <c r="E22" s="960"/>
      <c r="F22" s="615">
        <f t="shared" si="0"/>
        <v>0</v>
      </c>
      <c r="G22" s="616"/>
      <c r="H22" s="615">
        <f t="shared" si="1"/>
        <v>0</v>
      </c>
      <c r="I22" s="615">
        <f t="shared" si="2"/>
        <v>0</v>
      </c>
    </row>
    <row r="23" spans="1:9">
      <c r="A23" s="615">
        <f>Application!$B711</f>
        <v>0</v>
      </c>
      <c r="B23" s="961">
        <f>Application!$G711</f>
        <v>0</v>
      </c>
      <c r="C23" s="615">
        <f>Application!$O711</f>
        <v>0</v>
      </c>
      <c r="D23" s="616"/>
      <c r="E23" s="960"/>
      <c r="F23" s="615">
        <f t="shared" si="0"/>
        <v>0</v>
      </c>
      <c r="G23" s="616"/>
      <c r="H23" s="615">
        <f t="shared" si="1"/>
        <v>0</v>
      </c>
      <c r="I23" s="615">
        <f t="shared" si="2"/>
        <v>0</v>
      </c>
    </row>
    <row r="24" spans="1:9">
      <c r="A24" s="615">
        <f>Application!$B712</f>
        <v>0</v>
      </c>
      <c r="B24" s="961">
        <f>Application!$G712</f>
        <v>0</v>
      </c>
      <c r="C24" s="615">
        <f>Application!$O712</f>
        <v>0</v>
      </c>
      <c r="D24" s="616"/>
      <c r="E24" s="960"/>
      <c r="F24" s="615">
        <f t="shared" si="0"/>
        <v>0</v>
      </c>
      <c r="G24" s="616"/>
      <c r="H24" s="615">
        <f t="shared" si="1"/>
        <v>0</v>
      </c>
      <c r="I24" s="615">
        <f t="shared" si="2"/>
        <v>0</v>
      </c>
    </row>
    <row r="25" spans="1:9">
      <c r="A25" s="615">
        <f>Application!$B713</f>
        <v>0</v>
      </c>
      <c r="B25" s="961">
        <f>Application!$G713</f>
        <v>0</v>
      </c>
      <c r="C25" s="615">
        <f>Application!$O713</f>
        <v>0</v>
      </c>
      <c r="D25" s="616"/>
      <c r="E25" s="960"/>
      <c r="F25" s="615">
        <f t="shared" si="0"/>
        <v>0</v>
      </c>
      <c r="G25" s="616"/>
      <c r="H25" s="615">
        <f t="shared" si="1"/>
        <v>0</v>
      </c>
      <c r="I25" s="615">
        <f t="shared" si="2"/>
        <v>0</v>
      </c>
    </row>
    <row r="26" spans="1:9">
      <c r="A26" s="615">
        <f>Application!$B714</f>
        <v>0</v>
      </c>
      <c r="B26" s="961">
        <f>Application!$G714</f>
        <v>0</v>
      </c>
      <c r="C26" s="615">
        <f>Application!$O714</f>
        <v>0</v>
      </c>
      <c r="D26" s="616"/>
      <c r="E26" s="960"/>
      <c r="F26" s="615">
        <f t="shared" si="0"/>
        <v>0</v>
      </c>
      <c r="G26" s="616"/>
      <c r="H26" s="615">
        <f t="shared" si="1"/>
        <v>0</v>
      </c>
      <c r="I26" s="615">
        <f t="shared" si="2"/>
        <v>0</v>
      </c>
    </row>
    <row r="27" spans="1:9">
      <c r="A27" s="615">
        <f>Application!$B715</f>
        <v>0</v>
      </c>
      <c r="B27" s="961">
        <f>Application!$G715</f>
        <v>0</v>
      </c>
      <c r="C27" s="615">
        <f>Application!$O715</f>
        <v>0</v>
      </c>
      <c r="D27" s="616"/>
      <c r="E27" s="960"/>
      <c r="F27" s="615">
        <f t="shared" si="0"/>
        <v>0</v>
      </c>
      <c r="G27" s="616"/>
      <c r="H27" s="615">
        <f t="shared" si="1"/>
        <v>0</v>
      </c>
      <c r="I27" s="615">
        <f t="shared" si="2"/>
        <v>0</v>
      </c>
    </row>
    <row r="28" spans="1:9">
      <c r="A28" s="615">
        <f>Application!$B716</f>
        <v>0</v>
      </c>
      <c r="B28" s="961">
        <f>Application!$G716</f>
        <v>0</v>
      </c>
      <c r="C28" s="615">
        <f>Application!$O716</f>
        <v>0</v>
      </c>
      <c r="D28" s="616"/>
      <c r="E28" s="960"/>
      <c r="F28" s="615">
        <f t="shared" si="0"/>
        <v>0</v>
      </c>
      <c r="G28" s="616"/>
      <c r="H28" s="615">
        <f t="shared" si="1"/>
        <v>0</v>
      </c>
      <c r="I28" s="615">
        <f t="shared" si="2"/>
        <v>0</v>
      </c>
    </row>
    <row r="29" spans="1:9">
      <c r="A29" s="612"/>
      <c r="B29" s="612"/>
      <c r="C29" s="616"/>
      <c r="D29" s="616"/>
      <c r="E29" s="616"/>
      <c r="F29" s="616"/>
      <c r="G29" s="616"/>
      <c r="H29" s="616"/>
      <c r="I29" s="612"/>
    </row>
    <row r="30" spans="1:9" ht="15">
      <c r="A30" s="617" t="s">
        <v>1216</v>
      </c>
      <c r="B30" s="618"/>
      <c r="C30" s="619">
        <f>Application!$T$717*12</f>
        <v>1081080</v>
      </c>
      <c r="D30" s="616"/>
      <c r="E30" s="616"/>
      <c r="F30" s="619">
        <f>SUM(F4:F28)*12</f>
        <v>1454928</v>
      </c>
      <c r="G30" s="620"/>
      <c r="H30" s="618"/>
      <c r="I30" s="619">
        <f>SUM(I4:I28)*12</f>
        <v>373848</v>
      </c>
    </row>
    <row r="31" spans="1:9" ht="15">
      <c r="A31" s="617"/>
      <c r="B31" s="618"/>
      <c r="C31" s="620"/>
      <c r="D31" s="616"/>
      <c r="E31" s="616"/>
      <c r="F31" s="620"/>
      <c r="G31" s="620"/>
      <c r="H31" s="618"/>
      <c r="I31" s="620"/>
    </row>
    <row r="32" spans="1:9">
      <c r="A32" s="612" t="s">
        <v>1218</v>
      </c>
      <c r="B32" s="612"/>
      <c r="C32" s="612"/>
      <c r="D32" s="612"/>
      <c r="E32" s="612"/>
      <c r="F32" s="612"/>
      <c r="G32" s="612"/>
      <c r="H32" s="612"/>
      <c r="I32" s="612"/>
    </row>
    <row r="33" spans="1:9">
      <c r="A33" s="612" t="s">
        <v>1220</v>
      </c>
      <c r="B33" s="612"/>
      <c r="C33" s="612"/>
      <c r="D33" s="612"/>
      <c r="E33" s="612"/>
      <c r="F33" s="612"/>
      <c r="G33" s="612"/>
      <c r="H33" s="612"/>
      <c r="I33" s="612"/>
    </row>
    <row r="34" spans="1:9">
      <c r="A34" s="612" t="s">
        <v>2253</v>
      </c>
      <c r="B34" s="612"/>
      <c r="C34" s="612"/>
      <c r="D34" s="612"/>
      <c r="E34" s="612"/>
      <c r="F34" s="612"/>
      <c r="G34" s="612"/>
      <c r="H34" s="612"/>
      <c r="I34" s="612"/>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9" t="s">
        <v>1280</v>
      </c>
    </row>
    <row r="2" spans="1:1" ht="15.75">
      <c r="A2" s="497"/>
    </row>
    <row r="3" spans="1:1" ht="15.75">
      <c r="A3" s="498" t="s">
        <v>1275</v>
      </c>
    </row>
    <row r="4" spans="1:1" ht="15.75">
      <c r="A4" s="498" t="s">
        <v>1276</v>
      </c>
    </row>
    <row r="5" spans="1:1" ht="15.75">
      <c r="A5" s="498" t="s">
        <v>1277</v>
      </c>
    </row>
    <row r="6" spans="1:1" ht="15.75">
      <c r="A6" s="498" t="s">
        <v>1278</v>
      </c>
    </row>
    <row r="7" spans="1:1" ht="15.75">
      <c r="A7" s="498" t="s">
        <v>1279</v>
      </c>
    </row>
    <row r="8" spans="1:1" ht="15.75">
      <c r="A8" s="577" t="s">
        <v>1396</v>
      </c>
    </row>
    <row r="9" spans="1:1" ht="15.75">
      <c r="A9" s="498"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1146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17755282</v>
      </c>
      <c r="U11" s="1613"/>
      <c r="V11" s="1613"/>
      <c r="W11" s="1613"/>
      <c r="X11" s="1613"/>
      <c r="Y11" s="1629">
        <f>IF('Sources and Basis Breakdown'!G105+'Sources and Basis Breakdown'!F105='Sources and Basis Breakdown'!E105,'Sources and Basis Breakdown'!G105,0)</f>
        <v>17755282</v>
      </c>
      <c r="Z11" s="1613"/>
      <c r="AA11" s="1613"/>
      <c r="AB11" s="1613"/>
      <c r="AC11" s="1613"/>
      <c r="AD11" s="1613">
        <f>IF('Sources and Basis Breakdown'!I105=0,'Sources and Basis Breakdown'!H105,'Sources and Basis Breakdown'!I105)</f>
        <v>23143050</v>
      </c>
      <c r="AE11" s="1613"/>
      <c r="AF11" s="1613"/>
      <c r="AG11" s="1613"/>
      <c r="AH11" s="1613"/>
      <c r="AI11" s="1613">
        <f>IF('Sources and Basis Breakdown'!I105+'Sources and Basis Breakdown'!J105='Sources and Basis Breakdown'!H105,'Sources and Basis Breakdown'!J105,0)</f>
        <v>23143050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6"/>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6"/>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17755282</v>
      </c>
      <c r="U23" s="1128"/>
      <c r="V23" s="1128"/>
      <c r="W23" s="1128"/>
      <c r="X23" s="1128"/>
      <c r="Y23" s="1605">
        <f>Y11+Y22</f>
        <v>17755282</v>
      </c>
      <c r="Z23" s="1128"/>
      <c r="AA23" s="1128"/>
      <c r="AB23" s="1128"/>
      <c r="AC23" s="1128"/>
      <c r="AD23" s="1605">
        <f>AD11+AD22</f>
        <v>23143050</v>
      </c>
      <c r="AE23" s="1128"/>
      <c r="AF23" s="1128"/>
      <c r="AG23" s="1128"/>
      <c r="AH23" s="1128"/>
      <c r="AI23" s="1605">
        <f>AI11+AI22</f>
        <v>23143050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17755282</v>
      </c>
      <c r="U26" s="1608"/>
      <c r="V26" s="1608"/>
      <c r="W26" s="1608"/>
      <c r="X26" s="1608"/>
      <c r="Y26" s="1196">
        <f>Y23*Y25</f>
        <v>17755282</v>
      </c>
      <c r="Z26" s="1608"/>
      <c r="AA26" s="1608"/>
      <c r="AB26" s="1608"/>
      <c r="AC26" s="1608"/>
      <c r="AD26" s="1196">
        <f>AD23*AD25</f>
        <v>23143050</v>
      </c>
      <c r="AE26" s="1608"/>
      <c r="AF26" s="1608"/>
      <c r="AG26" s="1608"/>
      <c r="AH26" s="1608"/>
      <c r="AI26" s="1196">
        <f>AI23*AI25</f>
        <v>23143050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17755282</v>
      </c>
      <c r="U28" s="1608"/>
      <c r="V28" s="1608"/>
      <c r="W28" s="1608"/>
      <c r="X28" s="1608"/>
      <c r="Y28" s="1196">
        <f>IF(ISERROR((Y26*Y27)),0,(Y26*Y27))</f>
        <v>17755282</v>
      </c>
      <c r="Z28" s="1608"/>
      <c r="AA28" s="1608"/>
      <c r="AB28" s="1608"/>
      <c r="AC28" s="1608"/>
      <c r="AD28" s="1196">
        <f>IF(ISERROR((AD26*AD27)),0,(AD26*AD27))</f>
        <v>23143050</v>
      </c>
      <c r="AE28" s="1608"/>
      <c r="AF28" s="1608"/>
      <c r="AG28" s="1608"/>
      <c r="AH28" s="1608"/>
      <c r="AI28" s="1196">
        <f>IF(ISERROR((AI26*AI27)),0,(AI26*AI27))</f>
        <v>23143050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81796664</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61">
        <v>0.09</v>
      </c>
      <c r="Z39" s="1961"/>
      <c r="AA39" s="1961"/>
      <c r="AB39" s="1961"/>
      <c r="AC39" s="1961"/>
      <c r="AD39" s="1961">
        <f>'Basis &amp; Credits'!AD39:AH39</f>
        <v>0.04</v>
      </c>
      <c r="AE39" s="1961"/>
      <c r="AF39" s="1961"/>
      <c r="AG39" s="1961"/>
      <c r="AH39" s="1961"/>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0"/>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row>
    <row r="44" spans="1:40" ht="12.95" customHeight="1">
      <c r="A44" s="3"/>
      <c r="B44" s="610"/>
      <c r="C44" s="610"/>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row>
    <row r="45" spans="1:40" ht="12.95" customHeight="1">
      <c r="A45" s="3" t="s">
        <v>127</v>
      </c>
      <c r="C45" s="3" t="s">
        <v>268</v>
      </c>
    </row>
    <row r="46" spans="1:40" ht="12.95" customHeight="1">
      <c r="D46" s="3" t="s">
        <v>269</v>
      </c>
      <c r="AB46" s="1157">
        <f>'Sources and Uses Budget'!B104-'Sources and Uses Budget'!$B$15</f>
        <v>44737740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44737740</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2"/>
      <c r="AB51" s="502"/>
      <c r="AC51" s="502"/>
      <c r="AD51" s="502"/>
      <c r="AE51" s="502"/>
      <c r="AF51" s="502"/>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44737740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17755282</v>
      </c>
      <c r="Z63" s="1635"/>
      <c r="AA63" s="1635"/>
      <c r="AB63" s="1635"/>
      <c r="AC63" s="1635"/>
      <c r="AD63" s="1128">
        <f>AI28</f>
        <v>23143050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5326585</v>
      </c>
      <c r="Z67" s="1635"/>
      <c r="AA67" s="1635"/>
      <c r="AB67" s="1635"/>
      <c r="AC67" s="1635"/>
      <c r="AD67" s="1128">
        <f>IF(OR(Application!D211="At-Risk",Application!D211="At-Risk/Located in Rural Census Tract",Application!D214="At-Risk"),ROUND(AD63*AD66,0),"$0")</f>
        <v>3008597</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0</v>
      </c>
      <c r="AC75" s="1518"/>
      <c r="AD75" s="1518"/>
      <c r="AE75" s="1518"/>
      <c r="AF75" s="1518"/>
    </row>
    <row r="76" spans="1:34" ht="12.95" customHeight="1">
      <c r="C76" s="3"/>
      <c r="D76" s="3" t="s">
        <v>113</v>
      </c>
      <c r="AB76" s="1535">
        <f>IF((Y67+AD67&lt;AB75),Y67+AD67,AB75)</f>
        <v>0</v>
      </c>
      <c r="AC76" s="1536"/>
      <c r="AD76" s="1536"/>
      <c r="AE76" s="1536"/>
      <c r="AF76" s="1537"/>
    </row>
    <row r="77" spans="1:34" ht="12.95" customHeight="1">
      <c r="C77" s="3"/>
      <c r="D77" s="3" t="s">
        <v>985</v>
      </c>
      <c r="AB77" s="1630">
        <f>AB76*AB70</f>
        <v>0</v>
      </c>
      <c r="AC77" s="1630"/>
      <c r="AD77" s="1630"/>
      <c r="AE77" s="1630"/>
      <c r="AF77" s="1630"/>
    </row>
    <row r="78" spans="1:34" ht="12.95" customHeight="1">
      <c r="C78" s="3"/>
      <c r="D78" s="3"/>
      <c r="AB78" s="611"/>
      <c r="AC78" s="611"/>
      <c r="AD78" s="611"/>
      <c r="AE78" s="611"/>
      <c r="AF78" s="611"/>
    </row>
    <row r="79" spans="1:34" ht="12.95" customHeight="1">
      <c r="D79" s="3" t="s">
        <v>114</v>
      </c>
      <c r="AB79" s="1175">
        <f>AB48-(AB56+AB77)</f>
        <v>44737740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8" t="s">
        <v>1416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1679</v>
      </c>
      <c r="U7" s="1612"/>
      <c r="V7" s="1612"/>
      <c r="W7" s="1612"/>
      <c r="X7" s="1612"/>
      <c r="Y7" s="1612" t="s">
        <v>1824</v>
      </c>
      <c r="Z7" s="1612"/>
      <c r="AA7" s="1612"/>
      <c r="AB7" s="1612"/>
      <c r="AC7" s="1612"/>
      <c r="AD7" s="1612" t="s">
        <v>1422</v>
      </c>
      <c r="AE7" s="1612"/>
      <c r="AF7" s="1612"/>
      <c r="AG7" s="1612"/>
      <c r="AH7" s="1612"/>
      <c r="AI7" s="1612" t="s">
        <v>1825</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700000000000003"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17755282</v>
      </c>
      <c r="U11" s="1613"/>
      <c r="V11" s="1613"/>
      <c r="W11" s="1613"/>
      <c r="X11" s="1613"/>
      <c r="Y11" s="1629">
        <f>IF('Sources and Basis Breakdown'!G105+'Sources and Basis Breakdown'!F105='Sources and Basis Breakdown'!E105,'Sources and Basis Breakdown'!G105,0)</f>
        <v>17755282</v>
      </c>
      <c r="Z11" s="1613"/>
      <c r="AA11" s="1613"/>
      <c r="AB11" s="1613"/>
      <c r="AC11" s="1613"/>
      <c r="AD11" s="1613">
        <f>IF('Sources and Basis Breakdown'!I105=0,'Sources and Basis Breakdown'!H105,'Sources and Basis Breakdown'!I105)</f>
        <v>23143050</v>
      </c>
      <c r="AE11" s="1613"/>
      <c r="AF11" s="1613"/>
      <c r="AG11" s="1613"/>
      <c r="AH11" s="1613"/>
      <c r="AI11" s="1613">
        <f>IF('Sources and Basis Breakdown'!I105+'Sources and Basis Breakdown'!J105='Sources and Basis Breakdown'!H105,'Sources and Basis Breakdown'!J105,0)</f>
        <v>23143050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f>'Basis &amp; Credits'!T13</f>
        <v>0</v>
      </c>
      <c r="U13" s="1624"/>
      <c r="V13" s="1624"/>
      <c r="W13" s="1624"/>
      <c r="X13" s="1624"/>
      <c r="Y13" s="1623">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6"/>
      <c r="C18" s="1618" t="s">
        <v>1426</v>
      </c>
      <c r="D18" s="1619"/>
      <c r="E18" s="1619"/>
      <c r="F18" s="1619"/>
      <c r="G18" s="1619"/>
      <c r="H18" s="1619"/>
      <c r="I18" s="1619"/>
      <c r="J18" s="1619"/>
      <c r="K18" s="1619"/>
      <c r="L18" s="1619"/>
      <c r="M18" s="1619"/>
      <c r="N18" s="1619"/>
      <c r="O18" s="1619"/>
      <c r="P18" s="1619"/>
      <c r="Q18" s="1619"/>
      <c r="R18" s="1619"/>
      <c r="S18" s="1620"/>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6"/>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Credits'!T21</f>
        <v>0</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5">
        <f>T11+T22</f>
        <v>17755282</v>
      </c>
      <c r="U23" s="1128"/>
      <c r="V23" s="1128"/>
      <c r="W23" s="1128"/>
      <c r="X23" s="1128"/>
      <c r="Y23" s="1605">
        <f>Y11+Y22</f>
        <v>17755282</v>
      </c>
      <c r="Z23" s="1128"/>
      <c r="AA23" s="1128"/>
      <c r="AB23" s="1128"/>
      <c r="AC23" s="1128"/>
      <c r="AD23" s="1605">
        <f>AD11+AD22</f>
        <v>23143050</v>
      </c>
      <c r="AE23" s="1128"/>
      <c r="AF23" s="1128"/>
      <c r="AG23" s="1128"/>
      <c r="AH23" s="1128"/>
      <c r="AI23" s="1605">
        <f>AI11+AI22</f>
        <v>23143050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Application!AD979</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1823</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17755282</v>
      </c>
      <c r="U26" s="1608"/>
      <c r="V26" s="1608"/>
      <c r="W26" s="1608"/>
      <c r="X26" s="1608"/>
      <c r="Y26" s="1196">
        <f>Y23*Y25</f>
        <v>17755282</v>
      </c>
      <c r="Z26" s="1608"/>
      <c r="AA26" s="1608"/>
      <c r="AB26" s="1608"/>
      <c r="AC26" s="1608"/>
      <c r="AD26" s="1196">
        <f>AD23*AD25</f>
        <v>23143050</v>
      </c>
      <c r="AE26" s="1608"/>
      <c r="AF26" s="1608"/>
      <c r="AG26" s="1608"/>
      <c r="AH26" s="1608"/>
      <c r="AI26" s="1196">
        <f>AI23*AI25</f>
        <v>23143050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17755282</v>
      </c>
      <c r="U28" s="1608"/>
      <c r="V28" s="1608"/>
      <c r="W28" s="1608"/>
      <c r="X28" s="1608"/>
      <c r="Y28" s="1196">
        <f>IF(ISERROR((Y26*Y27)),0,(Y26*Y27))</f>
        <v>17755282</v>
      </c>
      <c r="Z28" s="1608"/>
      <c r="AA28" s="1608"/>
      <c r="AB28" s="1608"/>
      <c r="AC28" s="1608"/>
      <c r="AD28" s="1196">
        <f>IF(ISERROR((AD26*AD27)),0,(AD26*AD27))</f>
        <v>23143050</v>
      </c>
      <c r="AE28" s="1608"/>
      <c r="AF28" s="1608"/>
      <c r="AG28" s="1608"/>
      <c r="AH28" s="1608"/>
      <c r="AI28" s="1196">
        <f>IF(ISERROR((AI26*AI27)),0,(AI26*AI27))</f>
        <v>23143050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81796664</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0" ht="12.95" customHeight="1">
      <c r="B36" s="204"/>
      <c r="X36" s="71"/>
      <c r="Y36" s="1612"/>
      <c r="Z36" s="1612"/>
      <c r="AA36" s="1612"/>
      <c r="AB36" s="1612"/>
      <c r="AC36" s="1612"/>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61">
        <v>0.09</v>
      </c>
      <c r="Z39" s="1961"/>
      <c r="AA39" s="1961"/>
      <c r="AB39" s="1961"/>
      <c r="AC39" s="1961"/>
      <c r="AD39" s="1961">
        <f>'Basis &amp; Credits'!AD39:AH39</f>
        <v>0.04</v>
      </c>
      <c r="AE39" s="1961"/>
      <c r="AF39" s="1961"/>
      <c r="AG39" s="1961"/>
      <c r="AH39" s="1961"/>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5">
        <f>ROUND(AD38*AD39,0)</f>
        <v>0</v>
      </c>
      <c r="AE40" s="1128"/>
      <c r="AF40" s="1128"/>
      <c r="AG40" s="1128"/>
      <c r="AH40" s="1128"/>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IF((Y40+AD40)&gt;2500000,2500000,Y40+AD40)</f>
        <v>0</v>
      </c>
      <c r="Z41" s="1604"/>
      <c r="AA41" s="1604"/>
      <c r="AB41" s="1604"/>
      <c r="AC41" s="1604"/>
      <c r="AD41" s="1604"/>
      <c r="AE41" s="1604"/>
      <c r="AF41" s="1604"/>
      <c r="AG41" s="1604"/>
      <c r="AH41" s="1605"/>
    </row>
    <row r="42" spans="1:40" ht="12.95" customHeight="1">
      <c r="A42" s="3"/>
      <c r="B42" s="1637" t="s">
        <v>1209</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610"/>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row>
    <row r="44" spans="1:40" ht="12.95" customHeight="1">
      <c r="A44" s="3"/>
      <c r="B44" s="610"/>
      <c r="C44" s="610"/>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row>
    <row r="45" spans="1:40" ht="12.95" customHeight="1">
      <c r="A45" s="3" t="s">
        <v>127</v>
      </c>
      <c r="C45" s="3" t="s">
        <v>268</v>
      </c>
    </row>
    <row r="46" spans="1:40" ht="12.95" customHeight="1">
      <c r="D46" s="3" t="s">
        <v>269</v>
      </c>
      <c r="AB46" s="1157">
        <f>'Sources and Uses Budget'!B104-'Sources and Uses Budget'!$B$15</f>
        <v>44737740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44737740</v>
      </c>
      <c r="AC48" s="1158"/>
      <c r="AD48" s="1158"/>
      <c r="AE48" s="1158"/>
      <c r="AF48" s="1159"/>
    </row>
    <row r="49" spans="1:40" ht="12.95" customHeight="1">
      <c r="D49" s="3" t="s">
        <v>912</v>
      </c>
      <c r="AA49" s="34"/>
      <c r="AB49" s="1632"/>
      <c r="AC49" s="1633"/>
      <c r="AD49" s="1633"/>
      <c r="AE49" s="1633"/>
      <c r="AF49" s="1634"/>
    </row>
    <row r="50" spans="1:40" s="324" customFormat="1" ht="12.95" customHeight="1">
      <c r="A50"/>
      <c r="B50"/>
      <c r="C50"/>
      <c r="D50"/>
      <c r="E50" s="1641" t="s">
        <v>1415</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2"/>
      <c r="AB51" s="502"/>
      <c r="AC51" s="502"/>
      <c r="AD51" s="502"/>
      <c r="AE51" s="502"/>
      <c r="AF51" s="502"/>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8">
        <f>(IF((Y41&lt;AB54),Y41,AB54))</f>
        <v>0</v>
      </c>
      <c r="AC55" s="1639"/>
      <c r="AD55" s="1639"/>
      <c r="AE55" s="1639"/>
      <c r="AF55" s="1640"/>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44737740</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17755282</v>
      </c>
      <c r="Z63" s="1635"/>
      <c r="AA63" s="1635"/>
      <c r="AB63" s="1635"/>
      <c r="AC63" s="1635"/>
      <c r="AD63" s="1128">
        <f>AI28</f>
        <v>23143050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984</v>
      </c>
      <c r="Y67" s="1128">
        <f>ROUND(Y63*Y66,0)</f>
        <v>5326585</v>
      </c>
      <c r="Z67" s="1635"/>
      <c r="AA67" s="1635"/>
      <c r="AB67" s="1635"/>
      <c r="AC67" s="1635"/>
      <c r="AD67" s="1128">
        <f>IF(OR(Application!D211="At-Risk",Application!D211="At-Risk/Located in Rural Census Tract",Application!D214="At-Risk"),ROUND(AD63*AD66,0),"$0")</f>
        <v>3008597</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2"/>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0</v>
      </c>
      <c r="AC75" s="1518"/>
      <c r="AD75" s="1518"/>
      <c r="AE75" s="1518"/>
      <c r="AF75" s="1518"/>
    </row>
    <row r="76" spans="1:34" ht="12.95" customHeight="1">
      <c r="C76" s="3"/>
      <c r="D76" s="3" t="s">
        <v>113</v>
      </c>
      <c r="AB76" s="1535">
        <f>IF((Y67+AD67&lt;AB75),Y67+AD67,AB75)</f>
        <v>0</v>
      </c>
      <c r="AC76" s="1536"/>
      <c r="AD76" s="1536"/>
      <c r="AE76" s="1536"/>
      <c r="AF76" s="1537"/>
    </row>
    <row r="77" spans="1:34" ht="12.95" customHeight="1">
      <c r="C77" s="3"/>
      <c r="D77" s="3" t="s">
        <v>985</v>
      </c>
      <c r="AB77" s="1630">
        <f>AB76*AB70</f>
        <v>0</v>
      </c>
      <c r="AC77" s="1630"/>
      <c r="AD77" s="1630"/>
      <c r="AE77" s="1630"/>
      <c r="AF77" s="1630"/>
    </row>
    <row r="78" spans="1:34" ht="12.95" customHeight="1">
      <c r="C78" s="3"/>
      <c r="D78" s="3"/>
      <c r="AB78" s="611"/>
      <c r="AC78" s="611"/>
      <c r="AD78" s="611"/>
      <c r="AE78" s="611"/>
      <c r="AF78" s="611"/>
    </row>
    <row r="79" spans="1:34" ht="12.95" customHeight="1">
      <c r="D79" s="3" t="s">
        <v>114</v>
      </c>
      <c r="AB79" s="1175">
        <f>AB48-(AB56+AB77)</f>
        <v>44737740</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8" t="s">
        <v>1281</v>
      </c>
      <c r="G1" s="579"/>
    </row>
    <row r="2" spans="1:7" ht="12.75">
      <c r="A2" s="264" t="s">
        <v>995</v>
      </c>
      <c r="B2" s="227"/>
      <c r="C2" s="325"/>
      <c r="D2" s="325"/>
      <c r="E2" s="227"/>
      <c r="F2" s="326"/>
      <c r="G2" s="326"/>
    </row>
    <row r="3" spans="1:7" s="580" customFormat="1" ht="80.25" customHeight="1">
      <c r="A3" s="337"/>
      <c r="B3" s="327" t="s">
        <v>994</v>
      </c>
      <c r="C3" s="327" t="s">
        <v>1224</v>
      </c>
      <c r="D3" s="327" t="s">
        <v>997</v>
      </c>
      <c r="E3" s="327" t="s">
        <v>998</v>
      </c>
      <c r="F3" s="323" t="s">
        <v>996</v>
      </c>
      <c r="G3" s="327"/>
    </row>
    <row r="4" spans="1:7" s="581" customFormat="1" ht="12.75">
      <c r="A4" s="901" t="s">
        <v>364</v>
      </c>
      <c r="B4" s="328"/>
      <c r="C4" s="328"/>
      <c r="D4" s="328"/>
      <c r="E4" s="328"/>
      <c r="F4" s="328"/>
      <c r="G4" s="328"/>
    </row>
    <row r="5" spans="1:7" s="581" customFormat="1" ht="12.75">
      <c r="A5" s="902" t="s">
        <v>999</v>
      </c>
      <c r="B5" s="330">
        <f>'Sources and Uses Budget'!C4</f>
        <v>2449000</v>
      </c>
      <c r="C5" s="330">
        <f>'Sources and Uses Budget'!C4</f>
        <v>2449000</v>
      </c>
      <c r="D5" s="330">
        <f>'Sources and Uses Budget'!C4</f>
        <v>2449000</v>
      </c>
      <c r="E5" s="332">
        <f>C5-B5</f>
        <v>0</v>
      </c>
      <c r="F5" s="331"/>
      <c r="G5" s="331"/>
    </row>
    <row r="6" spans="1:7" s="581" customFormat="1" ht="12.75">
      <c r="A6" s="902" t="s">
        <v>1000</v>
      </c>
      <c r="B6" s="330">
        <f>'Sources and Uses Budget'!C5</f>
        <v>0</v>
      </c>
      <c r="C6" s="330">
        <f>'Sources and Uses Budget'!C5</f>
        <v>0</v>
      </c>
      <c r="D6" s="330">
        <f>'Sources and Uses Budget'!C5</f>
        <v>0</v>
      </c>
      <c r="E6" s="332">
        <f t="shared" ref="E6:E73" si="0">C6-B6</f>
        <v>0</v>
      </c>
      <c r="F6" s="331"/>
      <c r="G6" s="331"/>
    </row>
    <row r="7" spans="1:7" s="581" customFormat="1" ht="12.75">
      <c r="A7" s="902" t="s">
        <v>365</v>
      </c>
      <c r="B7" s="330">
        <f>'Sources and Uses Budget'!C6</f>
        <v>0</v>
      </c>
      <c r="C7" s="330">
        <f>'Sources and Uses Budget'!C6</f>
        <v>0</v>
      </c>
      <c r="D7" s="330">
        <f>'Sources and Uses Budget'!C6</f>
        <v>0</v>
      </c>
      <c r="E7" s="332">
        <f t="shared" si="0"/>
        <v>0</v>
      </c>
      <c r="F7" s="331"/>
      <c r="G7" s="331"/>
    </row>
    <row r="8" spans="1:7" s="581" customFormat="1" ht="12.75">
      <c r="A8" s="902" t="s">
        <v>297</v>
      </c>
      <c r="B8" s="330">
        <f>'Sources and Uses Budget'!C7</f>
        <v>0</v>
      </c>
      <c r="C8" s="330">
        <f>'Sources and Uses Budget'!C7</f>
        <v>0</v>
      </c>
      <c r="D8" s="330">
        <f>'Sources and Uses Budget'!C7</f>
        <v>0</v>
      </c>
      <c r="E8" s="332">
        <f t="shared" si="0"/>
        <v>0</v>
      </c>
      <c r="F8" s="331"/>
      <c r="G8" s="331"/>
    </row>
    <row r="9" spans="1:7" s="581" customFormat="1" ht="12.75">
      <c r="A9" s="903" t="s">
        <v>1001</v>
      </c>
      <c r="B9" s="332">
        <f>SUM(B5:B8)</f>
        <v>2449000</v>
      </c>
      <c r="C9" s="332">
        <f>SUM(C5:C8)</f>
        <v>2449000</v>
      </c>
      <c r="D9" s="332">
        <f>SUM(D5:D8)</f>
        <v>2449000</v>
      </c>
      <c r="E9" s="332">
        <f t="shared" si="0"/>
        <v>0</v>
      </c>
      <c r="F9" s="331"/>
      <c r="G9" s="331"/>
    </row>
    <row r="10" spans="1:7" s="581" customFormat="1" ht="12.75">
      <c r="A10" s="902" t="s">
        <v>615</v>
      </c>
      <c r="B10" s="330">
        <f>'Sources and Uses Budget'!C9</f>
        <v>22041000</v>
      </c>
      <c r="C10" s="330">
        <f>'Sources and Uses Budget'!C9</f>
        <v>22041000</v>
      </c>
      <c r="D10" s="330">
        <f>'Sources and Uses Budget'!C9</f>
        <v>22041000</v>
      </c>
      <c r="E10" s="332">
        <f t="shared" si="0"/>
        <v>0</v>
      </c>
      <c r="F10" s="331"/>
      <c r="G10" s="331"/>
    </row>
    <row r="11" spans="1:7" s="581" customFormat="1" ht="12.75">
      <c r="A11" s="902" t="s">
        <v>1002</v>
      </c>
      <c r="B11" s="330">
        <f>'Sources and Uses Budget'!C10</f>
        <v>0</v>
      </c>
      <c r="C11" s="330">
        <f>'Sources and Uses Budget'!C10</f>
        <v>0</v>
      </c>
      <c r="D11" s="330">
        <f>'Sources and Uses Budget'!C10</f>
        <v>0</v>
      </c>
      <c r="E11" s="332">
        <f t="shared" si="0"/>
        <v>0</v>
      </c>
      <c r="F11" s="331"/>
      <c r="G11" s="331"/>
    </row>
    <row r="12" spans="1:7" s="581" customFormat="1" ht="12.75">
      <c r="A12" s="903" t="s">
        <v>616</v>
      </c>
      <c r="B12" s="332">
        <f>SUM(B10:B11)</f>
        <v>22041000</v>
      </c>
      <c r="C12" s="332">
        <f>SUM(C10:C11)</f>
        <v>22041000</v>
      </c>
      <c r="D12" s="332">
        <f>SUM(D10:D11)</f>
        <v>22041000</v>
      </c>
      <c r="E12" s="332">
        <f t="shared" si="0"/>
        <v>0</v>
      </c>
      <c r="F12" s="331"/>
      <c r="G12" s="331"/>
    </row>
    <row r="13" spans="1:7" s="581" customFormat="1" ht="12.75">
      <c r="A13" s="903" t="s">
        <v>746</v>
      </c>
      <c r="B13" s="332">
        <f>SUM(B9+B12)</f>
        <v>24490000</v>
      </c>
      <c r="C13" s="332">
        <f>SUM(C9+C12)</f>
        <v>24490000</v>
      </c>
      <c r="D13" s="332">
        <f>SUM(D9+D12)</f>
        <v>24490000</v>
      </c>
      <c r="E13" s="332">
        <f t="shared" si="0"/>
        <v>0</v>
      </c>
      <c r="F13" s="331"/>
      <c r="G13" s="331"/>
    </row>
    <row r="14" spans="1:7" s="581" customFormat="1" ht="12.75">
      <c r="A14" s="904" t="s">
        <v>1156</v>
      </c>
      <c r="B14" s="330">
        <f>'Sources and Uses Budget'!C13</f>
        <v>0</v>
      </c>
      <c r="C14" s="330">
        <f>'Sources and Uses Budget'!C13</f>
        <v>0</v>
      </c>
      <c r="D14" s="330">
        <f>'Sources and Uses Budget'!C13</f>
        <v>0</v>
      </c>
      <c r="E14" s="332">
        <f t="shared" si="0"/>
        <v>0</v>
      </c>
      <c r="F14" s="331"/>
      <c r="G14" s="331"/>
    </row>
    <row r="15" spans="1:7" s="581" customFormat="1" ht="24">
      <c r="A15" s="902" t="s">
        <v>1188</v>
      </c>
      <c r="B15" s="330">
        <f>'Sources and Uses Budget'!C14</f>
        <v>0</v>
      </c>
      <c r="C15" s="330">
        <f>'Sources and Uses Budget'!C14</f>
        <v>0</v>
      </c>
      <c r="D15" s="330">
        <f>'Sources and Uses Budget'!C14</f>
        <v>0</v>
      </c>
      <c r="E15" s="332">
        <f t="shared" si="0"/>
        <v>0</v>
      </c>
      <c r="F15" s="331"/>
      <c r="G15" s="331"/>
    </row>
    <row r="16" spans="1:7" s="581" customFormat="1" ht="12.75">
      <c r="A16" s="902" t="s">
        <v>1755</v>
      </c>
      <c r="B16" s="330">
        <f>'Sources and Uses Budget'!C15</f>
        <v>0</v>
      </c>
      <c r="C16" s="330">
        <f>'Sources and Uses Budget'!C15</f>
        <v>0</v>
      </c>
      <c r="D16" s="330">
        <f>'Sources and Uses Budget'!C15</f>
        <v>0</v>
      </c>
      <c r="E16" s="332">
        <f t="shared" si="0"/>
        <v>0</v>
      </c>
      <c r="F16" s="331"/>
      <c r="G16" s="331"/>
    </row>
    <row r="17" spans="1:7" s="581" customFormat="1" ht="12.75">
      <c r="A17" s="901" t="s">
        <v>952</v>
      </c>
      <c r="B17" s="328"/>
      <c r="C17" s="328"/>
      <c r="D17" s="328"/>
      <c r="E17" s="328"/>
      <c r="F17" s="328"/>
      <c r="G17" s="328"/>
    </row>
    <row r="18" spans="1:7" s="581" customFormat="1" ht="12.75">
      <c r="A18" s="239" t="s">
        <v>953</v>
      </c>
      <c r="B18" s="330">
        <f>'Sources and Uses Budget'!C17</f>
        <v>0</v>
      </c>
      <c r="C18" s="330">
        <f>'Sources and Uses Budget'!C17</f>
        <v>0</v>
      </c>
      <c r="D18" s="330">
        <f>'Sources and Uses Budget'!C17</f>
        <v>0</v>
      </c>
      <c r="E18" s="332">
        <f t="shared" si="0"/>
        <v>0</v>
      </c>
      <c r="F18" s="331"/>
      <c r="G18" s="331"/>
    </row>
    <row r="19" spans="1:7" s="581" customFormat="1" ht="12.75">
      <c r="A19" s="239" t="s">
        <v>954</v>
      </c>
      <c r="B19" s="330">
        <f>'Sources and Uses Budget'!C18</f>
        <v>10950000</v>
      </c>
      <c r="C19" s="330">
        <f>'Sources and Uses Budget'!C18</f>
        <v>10950000</v>
      </c>
      <c r="D19" s="330">
        <f>'Sources and Uses Budget'!C18</f>
        <v>10950000</v>
      </c>
      <c r="E19" s="332">
        <f t="shared" ref="E19:E26" si="1">C19-B19</f>
        <v>0</v>
      </c>
      <c r="F19" s="331"/>
      <c r="G19" s="331"/>
    </row>
    <row r="20" spans="1:7" s="581" customFormat="1" ht="12.75">
      <c r="A20" s="239" t="s">
        <v>955</v>
      </c>
      <c r="B20" s="330">
        <f>'Sources and Uses Budget'!C19</f>
        <v>657000</v>
      </c>
      <c r="C20" s="330">
        <f>'Sources and Uses Budget'!C19</f>
        <v>657000</v>
      </c>
      <c r="D20" s="330">
        <f>'Sources and Uses Budget'!C19</f>
        <v>657000</v>
      </c>
      <c r="E20" s="332">
        <f t="shared" si="1"/>
        <v>0</v>
      </c>
      <c r="F20" s="331"/>
      <c r="G20" s="331"/>
    </row>
    <row r="21" spans="1:7" s="581" customFormat="1" ht="12.75">
      <c r="A21" s="239" t="s">
        <v>956</v>
      </c>
      <c r="B21" s="330">
        <f>'Sources and Uses Budget'!C20</f>
        <v>219000</v>
      </c>
      <c r="C21" s="330">
        <f>'Sources and Uses Budget'!C20</f>
        <v>219000</v>
      </c>
      <c r="D21" s="330">
        <f>'Sources and Uses Budget'!C20</f>
        <v>219000</v>
      </c>
      <c r="E21" s="332">
        <f t="shared" si="1"/>
        <v>0</v>
      </c>
      <c r="F21" s="331"/>
      <c r="G21" s="331"/>
    </row>
    <row r="22" spans="1:7" s="581" customFormat="1" ht="12.75">
      <c r="A22" s="239" t="s">
        <v>957</v>
      </c>
      <c r="B22" s="330">
        <f>'Sources and Uses Budget'!C21</f>
        <v>657000</v>
      </c>
      <c r="C22" s="330">
        <f>'Sources and Uses Budget'!C21</f>
        <v>657000</v>
      </c>
      <c r="D22" s="330">
        <f>'Sources and Uses Budget'!C21</f>
        <v>657000</v>
      </c>
      <c r="E22" s="332">
        <f t="shared" si="1"/>
        <v>0</v>
      </c>
      <c r="F22" s="331"/>
      <c r="G22" s="331"/>
    </row>
    <row r="23" spans="1:7" s="581" customFormat="1" ht="12.75">
      <c r="A23" s="239" t="s">
        <v>958</v>
      </c>
      <c r="B23" s="330">
        <f>'Sources and Uses Budget'!C22</f>
        <v>0</v>
      </c>
      <c r="C23" s="330">
        <f>'Sources and Uses Budget'!C22</f>
        <v>0</v>
      </c>
      <c r="D23" s="330">
        <f>'Sources and Uses Budget'!C22</f>
        <v>0</v>
      </c>
      <c r="E23" s="332">
        <f t="shared" si="1"/>
        <v>0</v>
      </c>
      <c r="F23" s="331"/>
      <c r="G23" s="331"/>
    </row>
    <row r="24" spans="1:7" s="581" customFormat="1" ht="12.75">
      <c r="A24" s="239" t="s">
        <v>959</v>
      </c>
      <c r="B24" s="330">
        <f>'Sources and Uses Budget'!C23</f>
        <v>124830</v>
      </c>
      <c r="C24" s="330">
        <f>'Sources and Uses Budget'!C23</f>
        <v>124830</v>
      </c>
      <c r="D24" s="330">
        <f>'Sources and Uses Budget'!C23</f>
        <v>124830</v>
      </c>
      <c r="E24" s="332">
        <f t="shared" si="1"/>
        <v>0</v>
      </c>
      <c r="F24" s="331"/>
      <c r="G24" s="331"/>
    </row>
    <row r="25" spans="1:7" s="581" customFormat="1" ht="12.75">
      <c r="A25" s="250" t="s">
        <v>2051</v>
      </c>
      <c r="B25" s="330">
        <f>'Sources and Uses Budget'!C24</f>
        <v>0</v>
      </c>
      <c r="C25" s="330">
        <f>'Sources and Uses Budget'!C24</f>
        <v>0</v>
      </c>
      <c r="D25" s="330">
        <f>'Sources and Uses Budget'!C24</f>
        <v>0</v>
      </c>
      <c r="E25" s="332">
        <f t="shared" si="1"/>
        <v>0</v>
      </c>
      <c r="F25" s="331"/>
      <c r="G25" s="331"/>
    </row>
    <row r="26" spans="1:7" s="581" customFormat="1" ht="12.75">
      <c r="A26" s="250" t="s">
        <v>564</v>
      </c>
      <c r="B26" s="330">
        <f>'Sources and Uses Budget'!C25</f>
        <v>124830</v>
      </c>
      <c r="C26" s="330">
        <f>'Sources and Uses Budget'!C25</f>
        <v>124830</v>
      </c>
      <c r="D26" s="330">
        <f>'Sources and Uses Budget'!C25</f>
        <v>124830</v>
      </c>
      <c r="E26" s="332">
        <f t="shared" si="1"/>
        <v>0</v>
      </c>
      <c r="F26" s="331"/>
      <c r="G26" s="331"/>
    </row>
    <row r="27" spans="1:7" s="581" customFormat="1" ht="12.75">
      <c r="A27" s="333" t="s">
        <v>237</v>
      </c>
      <c r="B27" s="912">
        <f>'Sources and Uses Budget'!C26</f>
        <v>12732660</v>
      </c>
      <c r="C27" s="912">
        <f>'Sources and Uses Budget'!C26</f>
        <v>12732660</v>
      </c>
      <c r="D27" s="912">
        <f>'Sources and Uses Budget'!C26</f>
        <v>12732660</v>
      </c>
      <c r="E27" s="332">
        <f>C27-B27</f>
        <v>0</v>
      </c>
      <c r="F27" s="331"/>
      <c r="G27" s="331"/>
    </row>
    <row r="28" spans="1:7" s="581" customFormat="1" ht="12.75">
      <c r="A28" s="905" t="s">
        <v>960</v>
      </c>
      <c r="B28" s="330">
        <f>'Sources and Uses Budget'!C27</f>
        <v>730000</v>
      </c>
      <c r="C28" s="330">
        <f>'Sources and Uses Budget'!C27</f>
        <v>730000</v>
      </c>
      <c r="D28" s="330">
        <f>'Sources and Uses Budget'!C27</f>
        <v>730000</v>
      </c>
      <c r="E28" s="332">
        <f>C28-B28</f>
        <v>0</v>
      </c>
      <c r="F28" s="331"/>
      <c r="G28" s="331"/>
    </row>
    <row r="29" spans="1:7" s="581" customFormat="1" ht="12.75">
      <c r="A29" s="901" t="s">
        <v>961</v>
      </c>
      <c r="B29" s="328"/>
      <c r="C29" s="328"/>
      <c r="D29" s="328"/>
      <c r="E29" s="328"/>
      <c r="F29" s="328"/>
      <c r="G29" s="328"/>
    </row>
    <row r="30" spans="1:7" s="581" customFormat="1" ht="12.75">
      <c r="A30" s="239" t="s">
        <v>953</v>
      </c>
      <c r="B30" s="330">
        <f>'Sources and Uses Budget'!C29</f>
        <v>0</v>
      </c>
      <c r="C30" s="330">
        <f>'Sources and Uses Budget'!C29</f>
        <v>0</v>
      </c>
      <c r="D30" s="330">
        <f>'Sources and Uses Budget'!C29</f>
        <v>0</v>
      </c>
      <c r="E30" s="332">
        <f t="shared" si="0"/>
        <v>0</v>
      </c>
      <c r="F30" s="331"/>
      <c r="G30" s="331"/>
    </row>
    <row r="31" spans="1:7" s="581" customFormat="1" ht="12.75">
      <c r="A31" s="239" t="s">
        <v>954</v>
      </c>
      <c r="B31" s="330">
        <f>'Sources and Uses Budget'!C30</f>
        <v>0</v>
      </c>
      <c r="C31" s="330">
        <f>'Sources and Uses Budget'!C30</f>
        <v>0</v>
      </c>
      <c r="D31" s="330">
        <f>'Sources and Uses Budget'!C30</f>
        <v>0</v>
      </c>
      <c r="E31" s="332">
        <f t="shared" si="0"/>
        <v>0</v>
      </c>
      <c r="F31" s="331"/>
      <c r="G31" s="331"/>
    </row>
    <row r="32" spans="1:7" s="581" customFormat="1" ht="12.75">
      <c r="A32" s="239" t="s">
        <v>955</v>
      </c>
      <c r="B32" s="330">
        <f>'Sources and Uses Budget'!C31</f>
        <v>0</v>
      </c>
      <c r="C32" s="330">
        <f>'Sources and Uses Budget'!C31</f>
        <v>0</v>
      </c>
      <c r="D32" s="330">
        <f>'Sources and Uses Budget'!C31</f>
        <v>0</v>
      </c>
      <c r="E32" s="332">
        <f t="shared" si="0"/>
        <v>0</v>
      </c>
      <c r="F32" s="331"/>
      <c r="G32" s="331"/>
    </row>
    <row r="33" spans="1:7" s="581" customFormat="1" ht="12.75">
      <c r="A33" s="239" t="s">
        <v>956</v>
      </c>
      <c r="B33" s="330">
        <f>'Sources and Uses Budget'!C32</f>
        <v>0</v>
      </c>
      <c r="C33" s="330">
        <f>'Sources and Uses Budget'!C32</f>
        <v>0</v>
      </c>
      <c r="D33" s="330">
        <f>'Sources and Uses Budget'!C32</f>
        <v>0</v>
      </c>
      <c r="E33" s="332">
        <f t="shared" si="0"/>
        <v>0</v>
      </c>
      <c r="F33" s="331"/>
      <c r="G33" s="331"/>
    </row>
    <row r="34" spans="1:7" s="581" customFormat="1" ht="12.75">
      <c r="A34" s="239" t="s">
        <v>957</v>
      </c>
      <c r="B34" s="330">
        <f>'Sources and Uses Budget'!C33</f>
        <v>0</v>
      </c>
      <c r="C34" s="330">
        <f>'Sources and Uses Budget'!C33</f>
        <v>0</v>
      </c>
      <c r="D34" s="330">
        <f>'Sources and Uses Budget'!C33</f>
        <v>0</v>
      </c>
      <c r="E34" s="332">
        <f t="shared" si="0"/>
        <v>0</v>
      </c>
      <c r="F34" s="331"/>
      <c r="G34" s="331"/>
    </row>
    <row r="35" spans="1:7" s="581" customFormat="1" ht="12.75">
      <c r="A35" s="239" t="s">
        <v>958</v>
      </c>
      <c r="B35" s="330">
        <f>'Sources and Uses Budget'!C34</f>
        <v>0</v>
      </c>
      <c r="C35" s="330">
        <f>'Sources and Uses Budget'!C34</f>
        <v>0</v>
      </c>
      <c r="D35" s="330">
        <f>'Sources and Uses Budget'!C34</f>
        <v>0</v>
      </c>
      <c r="E35" s="332">
        <f t="shared" si="0"/>
        <v>0</v>
      </c>
      <c r="F35" s="331"/>
      <c r="G35" s="331"/>
    </row>
    <row r="36" spans="1:7" s="581" customFormat="1" ht="12.75">
      <c r="A36" s="239" t="s">
        <v>959</v>
      </c>
      <c r="B36" s="330">
        <f>'Sources and Uses Budget'!C35</f>
        <v>0</v>
      </c>
      <c r="C36" s="330">
        <f>'Sources and Uses Budget'!C35</f>
        <v>0</v>
      </c>
      <c r="D36" s="330">
        <f>'Sources and Uses Budget'!C35</f>
        <v>0</v>
      </c>
      <c r="E36" s="332">
        <f t="shared" si="0"/>
        <v>0</v>
      </c>
      <c r="F36" s="331"/>
      <c r="G36" s="331"/>
    </row>
    <row r="37" spans="1:7" s="581" customFormat="1" ht="12.75">
      <c r="A37" s="239" t="s">
        <v>2051</v>
      </c>
      <c r="B37" s="330">
        <f>'Sources and Uses Budget'!C36</f>
        <v>0</v>
      </c>
      <c r="C37" s="330">
        <f>'Sources and Uses Budget'!C36</f>
        <v>0</v>
      </c>
      <c r="D37" s="330">
        <f>'Sources and Uses Budget'!C36</f>
        <v>0</v>
      </c>
      <c r="E37" s="332">
        <f t="shared" si="0"/>
        <v>0</v>
      </c>
      <c r="F37" s="331"/>
      <c r="G37" s="331"/>
    </row>
    <row r="38" spans="1:7" s="581" customFormat="1" ht="12.75">
      <c r="A38" s="250" t="s">
        <v>564</v>
      </c>
      <c r="B38" s="330">
        <f>'Sources and Uses Budget'!C37</f>
        <v>0</v>
      </c>
      <c r="C38" s="330">
        <f>'Sources and Uses Budget'!C37</f>
        <v>0</v>
      </c>
      <c r="D38" s="330">
        <f>'Sources and Uses Budget'!C37</f>
        <v>0</v>
      </c>
      <c r="E38" s="332">
        <f>C38-B38</f>
        <v>0</v>
      </c>
      <c r="F38" s="331"/>
      <c r="G38" s="331"/>
    </row>
    <row r="39" spans="1:7" s="581" customFormat="1" ht="12.75">
      <c r="A39" s="905" t="s">
        <v>962</v>
      </c>
      <c r="B39" s="912">
        <f>'Sources and Uses Budget'!C38</f>
        <v>0</v>
      </c>
      <c r="C39" s="912">
        <f>'Sources and Uses Budget'!C38</f>
        <v>0</v>
      </c>
      <c r="D39" s="912">
        <f>'Sources and Uses Budget'!C38</f>
        <v>0</v>
      </c>
      <c r="E39" s="332">
        <f>C39-B39</f>
        <v>0</v>
      </c>
      <c r="F39" s="331"/>
      <c r="G39" s="331"/>
    </row>
    <row r="40" spans="1:7" s="581" customFormat="1" ht="12.75">
      <c r="A40" s="901" t="s">
        <v>963</v>
      </c>
      <c r="B40" s="328"/>
      <c r="C40" s="328"/>
      <c r="D40" s="328"/>
      <c r="E40" s="328"/>
      <c r="F40" s="328"/>
      <c r="G40" s="328"/>
    </row>
    <row r="41" spans="1:7" s="581" customFormat="1" ht="12.75">
      <c r="A41" s="906" t="s">
        <v>964</v>
      </c>
      <c r="B41" s="330">
        <f>'Sources and Uses Budget'!C40</f>
        <v>175000</v>
      </c>
      <c r="C41" s="330">
        <f>'Sources and Uses Budget'!C40</f>
        <v>175000</v>
      </c>
      <c r="D41" s="330">
        <f>'Sources and Uses Budget'!C40</f>
        <v>175000</v>
      </c>
      <c r="E41" s="332">
        <f>C41-B41</f>
        <v>0</v>
      </c>
      <c r="F41" s="331"/>
      <c r="G41" s="331"/>
    </row>
    <row r="42" spans="1:7" s="581" customFormat="1" ht="12.75">
      <c r="A42" s="906" t="s">
        <v>965</v>
      </c>
      <c r="B42" s="330">
        <f>'Sources and Uses Budget'!C41</f>
        <v>50000</v>
      </c>
      <c r="C42" s="330">
        <f>'Sources and Uses Budget'!C41</f>
        <v>50000</v>
      </c>
      <c r="D42" s="330">
        <f>'Sources and Uses Budget'!C41</f>
        <v>50000</v>
      </c>
      <c r="E42" s="332">
        <f>C42-B42</f>
        <v>0</v>
      </c>
      <c r="F42" s="331"/>
      <c r="G42" s="331"/>
    </row>
    <row r="43" spans="1:7" s="581" customFormat="1" ht="12" customHeight="1">
      <c r="A43" s="905" t="s">
        <v>966</v>
      </c>
      <c r="B43" s="912">
        <f>'Sources and Uses Budget'!C42</f>
        <v>225000</v>
      </c>
      <c r="C43" s="912">
        <f>'Sources and Uses Budget'!C42</f>
        <v>225000</v>
      </c>
      <c r="D43" s="912">
        <f>'Sources and Uses Budget'!C42</f>
        <v>225000</v>
      </c>
      <c r="E43" s="332">
        <f>C43-B43</f>
        <v>0</v>
      </c>
      <c r="F43" s="331"/>
      <c r="G43" s="331"/>
    </row>
    <row r="44" spans="1:7" s="581" customFormat="1" ht="12.75">
      <c r="A44" s="905" t="s">
        <v>967</v>
      </c>
      <c r="B44" s="330">
        <f>'Sources and Uses Budget'!C43</f>
        <v>100000</v>
      </c>
      <c r="C44" s="330">
        <f>'Sources and Uses Budget'!C43</f>
        <v>100000</v>
      </c>
      <c r="D44" s="330">
        <f>'Sources and Uses Budget'!C43</f>
        <v>100000</v>
      </c>
      <c r="E44" s="332">
        <f>C44-B44</f>
        <v>0</v>
      </c>
      <c r="F44" s="331"/>
      <c r="G44" s="331"/>
    </row>
    <row r="45" spans="1:7" s="581" customFormat="1" ht="12.75">
      <c r="A45" s="235" t="s">
        <v>968</v>
      </c>
      <c r="B45" s="328"/>
      <c r="C45" s="328"/>
      <c r="D45" s="328"/>
      <c r="E45" s="328"/>
      <c r="F45" s="328"/>
      <c r="G45" s="328"/>
    </row>
    <row r="46" spans="1:7" s="581" customFormat="1" ht="12" customHeight="1">
      <c r="A46" s="239" t="s">
        <v>969</v>
      </c>
      <c r="B46" s="330">
        <f>'Sources and Uses Budget'!C45</f>
        <v>1162495</v>
      </c>
      <c r="C46" s="330">
        <f>'Sources and Uses Budget'!C45</f>
        <v>1162495</v>
      </c>
      <c r="D46" s="330">
        <f>'Sources and Uses Budget'!C45</f>
        <v>1162495</v>
      </c>
      <c r="E46" s="332">
        <f t="shared" si="0"/>
        <v>0</v>
      </c>
      <c r="F46" s="331"/>
      <c r="G46" s="331"/>
    </row>
    <row r="47" spans="1:7" s="581" customFormat="1" ht="12.75">
      <c r="A47" s="239" t="s">
        <v>970</v>
      </c>
      <c r="B47" s="330">
        <f>'Sources and Uses Budget'!C46</f>
        <v>185000</v>
      </c>
      <c r="C47" s="330">
        <f>'Sources and Uses Budget'!C46</f>
        <v>185000</v>
      </c>
      <c r="D47" s="330">
        <f>'Sources and Uses Budget'!C46</f>
        <v>185000</v>
      </c>
      <c r="E47" s="332">
        <f t="shared" si="0"/>
        <v>0</v>
      </c>
      <c r="F47" s="331"/>
      <c r="G47" s="331"/>
    </row>
    <row r="48" spans="1:7" s="581" customFormat="1" ht="12.75">
      <c r="A48" s="239" t="s">
        <v>971</v>
      </c>
      <c r="B48" s="330">
        <f>'Sources and Uses Budget'!C47</f>
        <v>20000</v>
      </c>
      <c r="C48" s="330">
        <f>'Sources and Uses Budget'!C47</f>
        <v>20000</v>
      </c>
      <c r="D48" s="330">
        <f>'Sources and Uses Budget'!C47</f>
        <v>20000</v>
      </c>
      <c r="E48" s="332">
        <f t="shared" si="0"/>
        <v>0</v>
      </c>
      <c r="F48" s="331"/>
      <c r="G48" s="331"/>
    </row>
    <row r="49" spans="1:7" s="581" customFormat="1" ht="12.75">
      <c r="A49" s="239" t="s">
        <v>972</v>
      </c>
      <c r="B49" s="330">
        <f>'Sources and Uses Budget'!C48</f>
        <v>0</v>
      </c>
      <c r="C49" s="330">
        <f>'Sources and Uses Budget'!C48</f>
        <v>0</v>
      </c>
      <c r="D49" s="330">
        <f>'Sources and Uses Budget'!C48</f>
        <v>0</v>
      </c>
      <c r="E49" s="332">
        <f t="shared" si="0"/>
        <v>0</v>
      </c>
      <c r="F49" s="331"/>
      <c r="G49" s="331"/>
    </row>
    <row r="50" spans="1:7" s="581" customFormat="1" ht="12.75">
      <c r="A50" s="239" t="s">
        <v>975</v>
      </c>
      <c r="B50" s="330">
        <f>'Sources and Uses Budget'!C49</f>
        <v>20000</v>
      </c>
      <c r="C50" s="330">
        <f>'Sources and Uses Budget'!C49</f>
        <v>20000</v>
      </c>
      <c r="D50" s="330">
        <f>'Sources and Uses Budget'!C49</f>
        <v>20000</v>
      </c>
      <c r="E50" s="332">
        <f t="shared" si="0"/>
        <v>0</v>
      </c>
      <c r="F50" s="331"/>
      <c r="G50" s="331"/>
    </row>
    <row r="51" spans="1:7" s="581" customFormat="1" ht="12.75">
      <c r="A51" s="239" t="s">
        <v>973</v>
      </c>
      <c r="B51" s="330">
        <f>'Sources and Uses Budget'!C50</f>
        <v>0</v>
      </c>
      <c r="C51" s="330">
        <f>'Sources and Uses Budget'!C50</f>
        <v>0</v>
      </c>
      <c r="D51" s="330">
        <f>'Sources and Uses Budget'!C50</f>
        <v>0</v>
      </c>
      <c r="E51" s="332">
        <f t="shared" si="0"/>
        <v>0</v>
      </c>
      <c r="F51" s="331"/>
      <c r="G51" s="331"/>
    </row>
    <row r="52" spans="1:7" s="582" customFormat="1" ht="12.75">
      <c r="A52" s="239" t="s">
        <v>974</v>
      </c>
      <c r="B52" s="330">
        <f>'Sources and Uses Budget'!C51</f>
        <v>0</v>
      </c>
      <c r="C52" s="330">
        <f>'Sources and Uses Budget'!C51</f>
        <v>0</v>
      </c>
      <c r="D52" s="330">
        <f>'Sources and Uses Budget'!C51</f>
        <v>0</v>
      </c>
      <c r="E52" s="332">
        <f t="shared" si="0"/>
        <v>0</v>
      </c>
      <c r="F52" s="331"/>
      <c r="G52" s="331"/>
    </row>
    <row r="53" spans="1:7" s="581" customFormat="1" ht="12.75">
      <c r="A53" s="246" t="s">
        <v>564</v>
      </c>
      <c r="B53" s="330">
        <f>'Sources and Uses Budget'!C52</f>
        <v>25000</v>
      </c>
      <c r="C53" s="330">
        <f>'Sources and Uses Budget'!C52</f>
        <v>25000</v>
      </c>
      <c r="D53" s="330">
        <f>'Sources and Uses Budget'!C52</f>
        <v>25000</v>
      </c>
      <c r="E53" s="332">
        <f t="shared" si="0"/>
        <v>0</v>
      </c>
      <c r="F53" s="331"/>
      <c r="G53" s="331"/>
    </row>
    <row r="54" spans="1:7" s="581" customFormat="1" ht="12.75">
      <c r="A54" s="243" t="s">
        <v>976</v>
      </c>
      <c r="B54" s="912">
        <f>'Sources and Uses Budget'!C53</f>
        <v>1412495</v>
      </c>
      <c r="C54" s="912">
        <f>'Sources and Uses Budget'!C53</f>
        <v>1412495</v>
      </c>
      <c r="D54" s="912">
        <f>'Sources and Uses Budget'!C53</f>
        <v>1412495</v>
      </c>
      <c r="E54" s="332">
        <f t="shared" si="0"/>
        <v>0</v>
      </c>
      <c r="F54" s="331"/>
      <c r="G54" s="331"/>
    </row>
    <row r="55" spans="1:7" s="581" customFormat="1" ht="12" customHeight="1">
      <c r="A55" s="901" t="s">
        <v>718</v>
      </c>
      <c r="B55" s="328"/>
      <c r="C55" s="328"/>
      <c r="D55" s="328"/>
      <c r="E55" s="328"/>
      <c r="F55" s="328"/>
      <c r="G55" s="328"/>
    </row>
    <row r="56" spans="1:7" s="581" customFormat="1" ht="12.75">
      <c r="A56" s="906" t="s">
        <v>977</v>
      </c>
      <c r="B56" s="330">
        <f>'Sources and Uses Budget'!C55</f>
        <v>109750</v>
      </c>
      <c r="C56" s="330">
        <f>'Sources and Uses Budget'!C55</f>
        <v>109750</v>
      </c>
      <c r="D56" s="330">
        <f>'Sources and Uses Budget'!C55</f>
        <v>109750</v>
      </c>
      <c r="E56" s="332">
        <f t="shared" si="0"/>
        <v>0</v>
      </c>
      <c r="F56" s="331"/>
      <c r="G56" s="331"/>
    </row>
    <row r="57" spans="1:7" s="581" customFormat="1" ht="12.75">
      <c r="A57" s="906" t="s">
        <v>971</v>
      </c>
      <c r="B57" s="330">
        <f>'Sources and Uses Budget'!C56</f>
        <v>0</v>
      </c>
      <c r="C57" s="330">
        <f>'Sources and Uses Budget'!C56</f>
        <v>0</v>
      </c>
      <c r="D57" s="330">
        <f>'Sources and Uses Budget'!C56</f>
        <v>0</v>
      </c>
      <c r="E57" s="332">
        <f t="shared" si="0"/>
        <v>0</v>
      </c>
      <c r="F57" s="331"/>
      <c r="G57" s="331"/>
    </row>
    <row r="58" spans="1:7" s="581" customFormat="1" ht="12.75">
      <c r="A58" s="906" t="s">
        <v>975</v>
      </c>
      <c r="B58" s="330">
        <f>'Sources and Uses Budget'!C57</f>
        <v>0</v>
      </c>
      <c r="C58" s="330">
        <f>'Sources and Uses Budget'!C57</f>
        <v>0</v>
      </c>
      <c r="D58" s="330">
        <f>'Sources and Uses Budget'!C57</f>
        <v>0</v>
      </c>
      <c r="E58" s="332">
        <f t="shared" si="0"/>
        <v>0</v>
      </c>
      <c r="F58" s="331"/>
      <c r="G58" s="331"/>
    </row>
    <row r="59" spans="1:7" s="581" customFormat="1" ht="12.75">
      <c r="A59" s="906" t="s">
        <v>973</v>
      </c>
      <c r="B59" s="330">
        <f>'Sources and Uses Budget'!C58</f>
        <v>0</v>
      </c>
      <c r="C59" s="330">
        <f>'Sources and Uses Budget'!C58</f>
        <v>0</v>
      </c>
      <c r="D59" s="330">
        <f>'Sources and Uses Budget'!C58</f>
        <v>0</v>
      </c>
      <c r="E59" s="332">
        <f t="shared" si="0"/>
        <v>0</v>
      </c>
      <c r="F59" s="331"/>
      <c r="G59" s="331"/>
    </row>
    <row r="60" spans="1:7" s="581" customFormat="1" ht="12.75">
      <c r="A60" s="906" t="s">
        <v>974</v>
      </c>
      <c r="B60" s="330">
        <f>'Sources and Uses Budget'!C59</f>
        <v>0</v>
      </c>
      <c r="C60" s="330">
        <f>'Sources and Uses Budget'!C59</f>
        <v>0</v>
      </c>
      <c r="D60" s="330">
        <f>'Sources and Uses Budget'!C59</f>
        <v>0</v>
      </c>
      <c r="E60" s="332">
        <f t="shared" si="0"/>
        <v>0</v>
      </c>
      <c r="F60" s="331"/>
      <c r="G60" s="331"/>
    </row>
    <row r="61" spans="1:7" s="581" customFormat="1" ht="13.9" customHeight="1">
      <c r="A61" s="907" t="s">
        <v>564</v>
      </c>
      <c r="B61" s="330">
        <f>'Sources and Uses Budget'!C60</f>
        <v>0</v>
      </c>
      <c r="C61" s="330">
        <f>'Sources and Uses Budget'!C60</f>
        <v>0</v>
      </c>
      <c r="D61" s="330">
        <f>'Sources and Uses Budget'!C60</f>
        <v>0</v>
      </c>
      <c r="E61" s="332">
        <f t="shared" si="0"/>
        <v>0</v>
      </c>
      <c r="F61" s="331"/>
      <c r="G61" s="331"/>
    </row>
    <row r="62" spans="1:7" s="581" customFormat="1" ht="12.75">
      <c r="A62" s="905" t="s">
        <v>529</v>
      </c>
      <c r="B62" s="912">
        <f>'Sources and Uses Budget'!C61</f>
        <v>109750</v>
      </c>
      <c r="C62" s="912">
        <f>'Sources and Uses Budget'!C61</f>
        <v>109750</v>
      </c>
      <c r="D62" s="912">
        <f>'Sources and Uses Budget'!C61</f>
        <v>109750</v>
      </c>
      <c r="E62" s="332">
        <f t="shared" si="0"/>
        <v>0</v>
      </c>
      <c r="F62" s="331"/>
      <c r="G62" s="331"/>
    </row>
    <row r="63" spans="1:7" s="581" customFormat="1" ht="12.75">
      <c r="A63" s="908" t="s">
        <v>530</v>
      </c>
      <c r="B63" s="912">
        <f>'Sources and Uses Budget'!C62</f>
        <v>39799905</v>
      </c>
      <c r="C63" s="912">
        <f>'Sources and Uses Budget'!C62</f>
        <v>39799905</v>
      </c>
      <c r="D63" s="912">
        <f>'Sources and Uses Budget'!C62</f>
        <v>39799905</v>
      </c>
      <c r="E63" s="332">
        <f t="shared" si="0"/>
        <v>0</v>
      </c>
      <c r="F63" s="331"/>
      <c r="G63" s="331"/>
    </row>
    <row r="64" spans="1:7" s="581" customFormat="1" ht="24">
      <c r="A64" s="235" t="s">
        <v>2052</v>
      </c>
      <c r="B64" s="328"/>
      <c r="C64" s="328"/>
      <c r="D64" s="328"/>
      <c r="E64" s="328"/>
      <c r="F64" s="328"/>
      <c r="G64" s="328"/>
    </row>
    <row r="65" spans="1:7" s="581" customFormat="1" ht="12.75">
      <c r="A65" s="239" t="s">
        <v>299</v>
      </c>
      <c r="B65" s="330">
        <f>'Sources and Uses Budget'!C64</f>
        <v>100000</v>
      </c>
      <c r="C65" s="330">
        <f>'Sources and Uses Budget'!C64</f>
        <v>100000</v>
      </c>
      <c r="D65" s="330">
        <f>'Sources and Uses Budget'!C64</f>
        <v>100000</v>
      </c>
      <c r="E65" s="332">
        <f t="shared" si="0"/>
        <v>0</v>
      </c>
      <c r="F65" s="331"/>
      <c r="G65" s="331"/>
    </row>
    <row r="66" spans="1:7" s="581" customFormat="1" ht="24">
      <c r="A66" s="239" t="s">
        <v>2053</v>
      </c>
      <c r="B66" s="330">
        <f>'Sources and Uses Budget'!C65</f>
        <v>0</v>
      </c>
      <c r="C66" s="330">
        <f>'Sources and Uses Budget'!C65</f>
        <v>0</v>
      </c>
      <c r="D66" s="330">
        <f>'Sources and Uses Budget'!C65</f>
        <v>0</v>
      </c>
      <c r="E66" s="332">
        <f t="shared" si="0"/>
        <v>0</v>
      </c>
      <c r="F66" s="331"/>
      <c r="G66" s="331"/>
    </row>
    <row r="67" spans="1:7" s="581" customFormat="1" ht="24">
      <c r="A67" s="239" t="s">
        <v>2054</v>
      </c>
      <c r="B67" s="330">
        <f>'Sources and Uses Budget'!C66</f>
        <v>0</v>
      </c>
      <c r="C67" s="330">
        <f>'Sources and Uses Budget'!C66</f>
        <v>0</v>
      </c>
      <c r="D67" s="330">
        <f>'Sources and Uses Budget'!C66</f>
        <v>0</v>
      </c>
      <c r="E67" s="332">
        <f t="shared" si="0"/>
        <v>0</v>
      </c>
      <c r="F67" s="331"/>
      <c r="G67" s="331"/>
    </row>
    <row r="68" spans="1:7" s="581" customFormat="1" ht="12.75">
      <c r="A68" s="239" t="s">
        <v>2055</v>
      </c>
      <c r="B68" s="330">
        <f>'Sources and Uses Budget'!C67</f>
        <v>0</v>
      </c>
      <c r="C68" s="330">
        <f>'Sources and Uses Budget'!C67</f>
        <v>0</v>
      </c>
      <c r="D68" s="330">
        <f>'Sources and Uses Budget'!C67</f>
        <v>0</v>
      </c>
      <c r="E68" s="332">
        <f t="shared" si="0"/>
        <v>0</v>
      </c>
      <c r="F68" s="331"/>
      <c r="G68" s="331"/>
    </row>
    <row r="69" spans="1:7" s="581" customFormat="1" ht="12.75">
      <c r="A69" s="250" t="s">
        <v>2114</v>
      </c>
      <c r="B69" s="330">
        <f>'Sources and Uses Budget'!C68</f>
        <v>130000</v>
      </c>
      <c r="C69" s="330">
        <f>'Sources and Uses Budget'!C68</f>
        <v>130000</v>
      </c>
      <c r="D69" s="330">
        <f>'Sources and Uses Budget'!C68</f>
        <v>130000</v>
      </c>
      <c r="E69" s="332">
        <f t="shared" si="0"/>
        <v>0</v>
      </c>
      <c r="F69" s="331"/>
      <c r="G69" s="331"/>
    </row>
    <row r="70" spans="1:7" s="581" customFormat="1" ht="12.75">
      <c r="A70" s="243" t="s">
        <v>2056</v>
      </c>
      <c r="B70" s="912">
        <f>'Sources and Uses Budget'!C69</f>
        <v>230000</v>
      </c>
      <c r="C70" s="912">
        <f>'Sources and Uses Budget'!C69</f>
        <v>230000</v>
      </c>
      <c r="D70" s="912">
        <f>'Sources and Uses Budget'!C69</f>
        <v>230000</v>
      </c>
      <c r="E70" s="332">
        <f t="shared" si="0"/>
        <v>0</v>
      </c>
      <c r="F70" s="331"/>
      <c r="G70" s="331"/>
    </row>
    <row r="71" spans="1:7" s="581" customFormat="1" ht="12.75">
      <c r="A71" s="901" t="s">
        <v>300</v>
      </c>
      <c r="B71" s="328"/>
      <c r="C71" s="328"/>
      <c r="D71" s="328"/>
      <c r="E71" s="328"/>
      <c r="F71" s="328"/>
      <c r="G71" s="328"/>
    </row>
    <row r="72" spans="1:7" s="581" customFormat="1" ht="12.75">
      <c r="A72" s="906" t="s">
        <v>301</v>
      </c>
      <c r="B72" s="330">
        <f>'Sources and Uses Budget'!C71</f>
        <v>0</v>
      </c>
      <c r="C72" s="330">
        <f>'Sources and Uses Budget'!C71</f>
        <v>0</v>
      </c>
      <c r="D72" s="330">
        <f>'Sources and Uses Budget'!C71</f>
        <v>0</v>
      </c>
      <c r="E72" s="332">
        <f t="shared" si="0"/>
        <v>0</v>
      </c>
      <c r="F72" s="331"/>
      <c r="G72" s="331"/>
    </row>
    <row r="73" spans="1:7" s="581" customFormat="1" ht="12.75">
      <c r="A73" s="906" t="s">
        <v>302</v>
      </c>
      <c r="B73" s="330">
        <f>'Sources and Uses Budget'!C72</f>
        <v>0</v>
      </c>
      <c r="C73" s="330">
        <f>'Sources and Uses Budget'!C72</f>
        <v>0</v>
      </c>
      <c r="D73" s="330">
        <f>'Sources and Uses Budget'!C72</f>
        <v>0</v>
      </c>
      <c r="E73" s="332">
        <f t="shared" si="0"/>
        <v>0</v>
      </c>
      <c r="F73" s="331"/>
      <c r="G73" s="331"/>
    </row>
    <row r="74" spans="1:7" s="581" customFormat="1" ht="12.75">
      <c r="A74" s="909" t="s">
        <v>1291</v>
      </c>
      <c r="B74" s="330">
        <f>'Sources and Uses Budget'!C73</f>
        <v>73000</v>
      </c>
      <c r="C74" s="330">
        <f>'Sources and Uses Budget'!C73</f>
        <v>73000</v>
      </c>
      <c r="D74" s="330">
        <f>'Sources and Uses Budget'!C73</f>
        <v>73000</v>
      </c>
      <c r="E74" s="332">
        <f>C74-B74</f>
        <v>0</v>
      </c>
      <c r="F74" s="331"/>
      <c r="G74" s="331"/>
    </row>
    <row r="75" spans="1:7" s="581" customFormat="1" ht="12.75">
      <c r="A75" s="906" t="s">
        <v>303</v>
      </c>
      <c r="B75" s="330">
        <f>'Sources and Uses Budget'!C74</f>
        <v>324605</v>
      </c>
      <c r="C75" s="330">
        <f>'Sources and Uses Budget'!C74</f>
        <v>324605</v>
      </c>
      <c r="D75" s="330">
        <f>'Sources and Uses Budget'!C74</f>
        <v>324605</v>
      </c>
      <c r="E75" s="332">
        <f>C75-B75</f>
        <v>0</v>
      </c>
      <c r="F75" s="331"/>
      <c r="G75" s="331"/>
    </row>
    <row r="76" spans="1:7" s="581" customFormat="1" ht="12.75">
      <c r="A76" s="910" t="s">
        <v>564</v>
      </c>
      <c r="B76" s="330">
        <f>'Sources and Uses Budget'!C75</f>
        <v>0</v>
      </c>
      <c r="C76" s="330">
        <f>'Sources and Uses Budget'!C75</f>
        <v>0</v>
      </c>
      <c r="D76" s="330">
        <f>'Sources and Uses Budget'!C75</f>
        <v>0</v>
      </c>
      <c r="E76" s="332">
        <f>C76-B76</f>
        <v>0</v>
      </c>
      <c r="F76" s="331"/>
      <c r="G76" s="331"/>
    </row>
    <row r="77" spans="1:7" s="581" customFormat="1" ht="12.75">
      <c r="A77" s="905" t="s">
        <v>304</v>
      </c>
      <c r="B77" s="912">
        <f>'Sources and Uses Budget'!C76</f>
        <v>397605</v>
      </c>
      <c r="C77" s="912">
        <f>'Sources and Uses Budget'!C76</f>
        <v>397605</v>
      </c>
      <c r="D77" s="912">
        <f>'Sources and Uses Budget'!C76</f>
        <v>397605</v>
      </c>
      <c r="E77" s="332">
        <f>C77-B77</f>
        <v>0</v>
      </c>
      <c r="F77" s="331"/>
      <c r="G77" s="331"/>
    </row>
    <row r="78" spans="1:7" s="581" customFormat="1" ht="12.75">
      <c r="A78" s="901" t="s">
        <v>1819</v>
      </c>
      <c r="B78" s="328"/>
      <c r="C78" s="328"/>
      <c r="D78" s="328"/>
      <c r="E78" s="328"/>
      <c r="F78" s="328"/>
      <c r="G78" s="328"/>
    </row>
    <row r="79" spans="1:7" s="581" customFormat="1" ht="13.9" customHeight="1">
      <c r="A79" s="906" t="s">
        <v>1817</v>
      </c>
      <c r="B79" s="330">
        <f>'Sources and Uses Budget'!C78</f>
        <v>1248300</v>
      </c>
      <c r="C79" s="330">
        <f>'Sources and Uses Budget'!C78</f>
        <v>1248300</v>
      </c>
      <c r="D79" s="330">
        <f>'Sources and Uses Budget'!C78</f>
        <v>1248300</v>
      </c>
      <c r="E79" s="332">
        <f t="shared" ref="E79:E105" si="2">C79-B79</f>
        <v>0</v>
      </c>
      <c r="F79" s="331"/>
      <c r="G79" s="331"/>
    </row>
    <row r="80" spans="1:7" s="581" customFormat="1" ht="12.75">
      <c r="A80" s="906" t="s">
        <v>569</v>
      </c>
      <c r="B80" s="330">
        <f>'Sources and Uses Budget'!C79</f>
        <v>125000</v>
      </c>
      <c r="C80" s="330">
        <f>'Sources and Uses Budget'!C79</f>
        <v>125000</v>
      </c>
      <c r="D80" s="330">
        <f>'Sources and Uses Budget'!C79</f>
        <v>125000</v>
      </c>
      <c r="E80" s="332">
        <f t="shared" si="2"/>
        <v>0</v>
      </c>
      <c r="F80" s="331"/>
      <c r="G80" s="331"/>
    </row>
    <row r="81" spans="1:7" s="581" customFormat="1" ht="12.75">
      <c r="A81" s="905" t="s">
        <v>1818</v>
      </c>
      <c r="B81" s="912">
        <f>'Sources and Uses Budget'!C80</f>
        <v>1373300</v>
      </c>
      <c r="C81" s="912">
        <f>'Sources and Uses Budget'!C80</f>
        <v>1373300</v>
      </c>
      <c r="D81" s="912">
        <f>'Sources and Uses Budget'!C80</f>
        <v>1373300</v>
      </c>
      <c r="E81" s="332">
        <f t="shared" si="2"/>
        <v>0</v>
      </c>
      <c r="F81" s="331"/>
      <c r="G81" s="331"/>
    </row>
    <row r="82" spans="1:7" s="581" customFormat="1" ht="12.75">
      <c r="A82" s="901" t="s">
        <v>546</v>
      </c>
      <c r="B82" s="328"/>
      <c r="C82" s="328"/>
      <c r="D82" s="328"/>
      <c r="E82" s="328"/>
      <c r="F82" s="328"/>
      <c r="G82" s="328"/>
    </row>
    <row r="83" spans="1:7" s="581" customFormat="1" ht="12.75">
      <c r="A83" s="239" t="s">
        <v>2239</v>
      </c>
      <c r="B83" s="330">
        <f>'Sources and Uses Budget'!C82</f>
        <v>131930</v>
      </c>
      <c r="C83" s="330">
        <f>'Sources and Uses Budget'!C82</f>
        <v>131930</v>
      </c>
      <c r="D83" s="330">
        <f>'Sources and Uses Budget'!C82</f>
        <v>131930</v>
      </c>
      <c r="E83" s="332">
        <f t="shared" si="2"/>
        <v>0</v>
      </c>
      <c r="F83" s="331"/>
      <c r="G83" s="331"/>
    </row>
    <row r="84" spans="1:7" s="581" customFormat="1" ht="12.75">
      <c r="A84" s="239" t="s">
        <v>547</v>
      </c>
      <c r="B84" s="330">
        <f>'Sources and Uses Budget'!C83</f>
        <v>120000</v>
      </c>
      <c r="C84" s="330">
        <f>'Sources and Uses Budget'!C83</f>
        <v>120000</v>
      </c>
      <c r="D84" s="330">
        <f>'Sources and Uses Budget'!C83</f>
        <v>120000</v>
      </c>
      <c r="E84" s="332">
        <f t="shared" si="2"/>
        <v>0</v>
      </c>
      <c r="F84" s="331"/>
      <c r="G84" s="331"/>
    </row>
    <row r="85" spans="1:7" s="581" customFormat="1" ht="12.75">
      <c r="A85" s="239" t="s">
        <v>548</v>
      </c>
      <c r="B85" s="330">
        <f>'Sources and Uses Budget'!C84</f>
        <v>0</v>
      </c>
      <c r="C85" s="330">
        <f>'Sources and Uses Budget'!C84</f>
        <v>0</v>
      </c>
      <c r="D85" s="330">
        <f>'Sources and Uses Budget'!C84</f>
        <v>0</v>
      </c>
      <c r="E85" s="332">
        <f t="shared" si="2"/>
        <v>0</v>
      </c>
      <c r="F85" s="331"/>
      <c r="G85" s="331"/>
    </row>
    <row r="86" spans="1:7" s="581" customFormat="1" ht="12.75">
      <c r="A86" s="239" t="s">
        <v>549</v>
      </c>
      <c r="B86" s="330">
        <f>'Sources and Uses Budget'!C85</f>
        <v>150000</v>
      </c>
      <c r="C86" s="330">
        <f>'Sources and Uses Budget'!C85</f>
        <v>150000</v>
      </c>
      <c r="D86" s="330">
        <f>'Sources and Uses Budget'!C85</f>
        <v>150000</v>
      </c>
      <c r="E86" s="332">
        <f t="shared" si="2"/>
        <v>0</v>
      </c>
      <c r="F86" s="331"/>
      <c r="G86" s="331"/>
    </row>
    <row r="87" spans="1:7" s="581" customFormat="1" ht="12.75">
      <c r="A87" s="239" t="s">
        <v>550</v>
      </c>
      <c r="B87" s="330">
        <f>'Sources and Uses Budget'!C86</f>
        <v>0</v>
      </c>
      <c r="C87" s="330">
        <f>'Sources and Uses Budget'!C86</f>
        <v>0</v>
      </c>
      <c r="D87" s="330">
        <f>'Sources and Uses Budget'!C86</f>
        <v>0</v>
      </c>
      <c r="E87" s="332">
        <f t="shared" si="2"/>
        <v>0</v>
      </c>
      <c r="F87" s="331"/>
      <c r="G87" s="331"/>
    </row>
    <row r="88" spans="1:7" s="581" customFormat="1" ht="12.75">
      <c r="A88" s="239" t="s">
        <v>551</v>
      </c>
      <c r="B88" s="330">
        <f>'Sources and Uses Budget'!C87</f>
        <v>0</v>
      </c>
      <c r="C88" s="330">
        <f>'Sources and Uses Budget'!C87</f>
        <v>0</v>
      </c>
      <c r="D88" s="330">
        <f>'Sources and Uses Budget'!C87</f>
        <v>0</v>
      </c>
      <c r="E88" s="332">
        <f t="shared" si="2"/>
        <v>0</v>
      </c>
      <c r="F88" s="331"/>
      <c r="G88" s="331"/>
    </row>
    <row r="89" spans="1:7" s="581" customFormat="1" ht="12.75">
      <c r="A89" s="239" t="s">
        <v>552</v>
      </c>
      <c r="B89" s="330">
        <f>'Sources and Uses Budget'!C88</f>
        <v>50000</v>
      </c>
      <c r="C89" s="330">
        <f>'Sources and Uses Budget'!C88</f>
        <v>50000</v>
      </c>
      <c r="D89" s="330">
        <f>'Sources and Uses Budget'!C88</f>
        <v>50000</v>
      </c>
      <c r="E89" s="332">
        <f t="shared" si="2"/>
        <v>0</v>
      </c>
      <c r="F89" s="331"/>
      <c r="G89" s="331"/>
    </row>
    <row r="90" spans="1:7" s="581" customFormat="1" ht="12.75">
      <c r="A90" s="239" t="s">
        <v>553</v>
      </c>
      <c r="B90" s="330">
        <f>'Sources and Uses Budget'!C89</f>
        <v>50000</v>
      </c>
      <c r="C90" s="330">
        <f>'Sources and Uses Budget'!C89</f>
        <v>50000</v>
      </c>
      <c r="D90" s="330">
        <f>'Sources and Uses Budget'!C89</f>
        <v>50000</v>
      </c>
      <c r="E90" s="332">
        <f t="shared" si="2"/>
        <v>0</v>
      </c>
      <c r="F90" s="331"/>
      <c r="G90" s="331"/>
    </row>
    <row r="91" spans="1:7" s="581" customFormat="1" ht="12.75">
      <c r="A91" s="250" t="s">
        <v>1367</v>
      </c>
      <c r="B91" s="330">
        <f>'Sources and Uses Budget'!C90</f>
        <v>15000</v>
      </c>
      <c r="C91" s="330">
        <f>'Sources and Uses Budget'!C90</f>
        <v>15000</v>
      </c>
      <c r="D91" s="330">
        <f>'Sources and Uses Budget'!C90</f>
        <v>15000</v>
      </c>
      <c r="E91" s="332">
        <f t="shared" si="2"/>
        <v>0</v>
      </c>
      <c r="F91" s="331"/>
      <c r="G91" s="331"/>
    </row>
    <row r="92" spans="1:7" s="581" customFormat="1" ht="12.75">
      <c r="A92" s="250" t="s">
        <v>1816</v>
      </c>
      <c r="B92" s="330">
        <f>'Sources and Uses Budget'!C91</f>
        <v>20000</v>
      </c>
      <c r="C92" s="330">
        <f>'Sources and Uses Budget'!C91</f>
        <v>20000</v>
      </c>
      <c r="D92" s="330">
        <f>'Sources and Uses Budget'!C91</f>
        <v>20000</v>
      </c>
      <c r="E92" s="332">
        <f t="shared" si="2"/>
        <v>0</v>
      </c>
      <c r="F92" s="331"/>
      <c r="G92" s="331"/>
    </row>
    <row r="93" spans="1:7" s="581" customFormat="1" ht="12.75">
      <c r="A93" s="246" t="s">
        <v>564</v>
      </c>
      <c r="B93" s="330">
        <f>'Sources and Uses Budget'!C92</f>
        <v>100000</v>
      </c>
      <c r="C93" s="330">
        <f>'Sources and Uses Budget'!C92</f>
        <v>100000</v>
      </c>
      <c r="D93" s="330">
        <f>'Sources and Uses Budget'!C92</f>
        <v>100000</v>
      </c>
      <c r="E93" s="332">
        <f t="shared" si="2"/>
        <v>0</v>
      </c>
      <c r="F93" s="331"/>
      <c r="G93" s="331"/>
    </row>
    <row r="94" spans="1:7" s="581" customFormat="1" ht="12.75">
      <c r="A94" s="246" t="s">
        <v>564</v>
      </c>
      <c r="B94" s="330">
        <f>'Sources and Uses Budget'!C93</f>
        <v>0</v>
      </c>
      <c r="C94" s="330">
        <f>'Sources and Uses Budget'!C93</f>
        <v>0</v>
      </c>
      <c r="D94" s="330">
        <f>'Sources and Uses Budget'!C93</f>
        <v>0</v>
      </c>
      <c r="E94" s="332">
        <f t="shared" si="2"/>
        <v>0</v>
      </c>
      <c r="F94" s="331"/>
      <c r="G94" s="331"/>
    </row>
    <row r="95" spans="1:7" s="581" customFormat="1" ht="12.75">
      <c r="A95" s="246" t="s">
        <v>564</v>
      </c>
      <c r="B95" s="330">
        <f>'Sources and Uses Budget'!C94</f>
        <v>100000</v>
      </c>
      <c r="C95" s="330">
        <f>'Sources and Uses Budget'!C94</f>
        <v>100000</v>
      </c>
      <c r="D95" s="330">
        <f>'Sources and Uses Budget'!C94</f>
        <v>100000</v>
      </c>
      <c r="E95" s="332">
        <f t="shared" si="2"/>
        <v>0</v>
      </c>
      <c r="F95" s="331"/>
      <c r="G95" s="331"/>
    </row>
    <row r="96" spans="1:7" s="581" customFormat="1" ht="12.75">
      <c r="A96" s="243" t="s">
        <v>554</v>
      </c>
      <c r="B96" s="912">
        <f>'Sources and Uses Budget'!C95</f>
        <v>736930</v>
      </c>
      <c r="C96" s="912">
        <f>'Sources and Uses Budget'!C95</f>
        <v>736930</v>
      </c>
      <c r="D96" s="912">
        <f>'Sources and Uses Budget'!C95</f>
        <v>736930</v>
      </c>
      <c r="E96" s="332">
        <f t="shared" si="2"/>
        <v>0</v>
      </c>
      <c r="F96" s="331"/>
      <c r="G96" s="331"/>
    </row>
    <row r="97" spans="1:7" s="581" customFormat="1" ht="12.75">
      <c r="A97" s="243" t="s">
        <v>555</v>
      </c>
      <c r="B97" s="912">
        <f>'Sources and Uses Budget'!C96</f>
        <v>42537740</v>
      </c>
      <c r="C97" s="912">
        <f>'Sources and Uses Budget'!C96</f>
        <v>42537740</v>
      </c>
      <c r="D97" s="912">
        <f>'Sources and Uses Budget'!C96</f>
        <v>42537740</v>
      </c>
      <c r="E97" s="332">
        <f t="shared" si="2"/>
        <v>0</v>
      </c>
      <c r="F97" s="331"/>
      <c r="G97" s="331"/>
    </row>
    <row r="98" spans="1:7" s="581" customFormat="1" ht="12.75">
      <c r="A98" s="901" t="s">
        <v>556</v>
      </c>
      <c r="B98" s="328"/>
      <c r="C98" s="328"/>
      <c r="D98" s="328"/>
      <c r="E98" s="328"/>
      <c r="F98" s="328"/>
      <c r="G98" s="328"/>
    </row>
    <row r="99" spans="1:7" s="581"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1"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1" customFormat="1" ht="12.75">
      <c r="A101" s="239" t="s">
        <v>558</v>
      </c>
      <c r="B101" s="330">
        <f>'Sources and Uses Budget'!C100</f>
        <v>0</v>
      </c>
      <c r="C101" s="330">
        <f>'Sources and Uses Budget'!C100</f>
        <v>0</v>
      </c>
      <c r="D101" s="330">
        <f>'Sources and Uses Budget'!C100</f>
        <v>0</v>
      </c>
      <c r="E101" s="332">
        <f t="shared" si="2"/>
        <v>0</v>
      </c>
      <c r="F101" s="331"/>
      <c r="G101" s="331"/>
    </row>
    <row r="102" spans="1:7" s="581" customFormat="1" ht="12.75">
      <c r="A102" s="239" t="s">
        <v>2113</v>
      </c>
      <c r="B102" s="330">
        <f>'Sources and Uses Budget'!C101</f>
        <v>0</v>
      </c>
      <c r="C102" s="330">
        <f>'Sources and Uses Budget'!C101</f>
        <v>0</v>
      </c>
      <c r="D102" s="330">
        <f>'Sources and Uses Budget'!C101</f>
        <v>0</v>
      </c>
      <c r="E102" s="332">
        <f t="shared" si="2"/>
        <v>0</v>
      </c>
      <c r="F102" s="331"/>
      <c r="G102" s="331"/>
    </row>
    <row r="103" spans="1:7" s="581" customFormat="1" ht="12.75">
      <c r="A103" s="907" t="s">
        <v>564</v>
      </c>
      <c r="B103" s="330">
        <f>'Sources and Uses Budget'!C102</f>
        <v>0</v>
      </c>
      <c r="C103" s="330">
        <f>'Sources and Uses Budget'!C102</f>
        <v>0</v>
      </c>
      <c r="D103" s="330">
        <f>'Sources and Uses Budget'!C102</f>
        <v>0</v>
      </c>
      <c r="E103" s="332">
        <f t="shared" si="2"/>
        <v>0</v>
      </c>
      <c r="F103" s="331"/>
      <c r="G103" s="331"/>
    </row>
    <row r="104" spans="1:7" s="581" customFormat="1" ht="12.75">
      <c r="A104" s="905" t="s">
        <v>559</v>
      </c>
      <c r="B104" s="912">
        <f>'Sources and Uses Budget'!C103</f>
        <v>2200000</v>
      </c>
      <c r="C104" s="912">
        <f>'Sources and Uses Budget'!C103</f>
        <v>2200000</v>
      </c>
      <c r="D104" s="912">
        <f>'Sources and Uses Budget'!C103</f>
        <v>2200000</v>
      </c>
      <c r="E104" s="332">
        <f t="shared" si="2"/>
        <v>0</v>
      </c>
      <c r="F104" s="331"/>
      <c r="G104" s="331"/>
    </row>
    <row r="105" spans="1:7" s="581" customFormat="1" ht="12.75">
      <c r="A105" s="905" t="s">
        <v>560</v>
      </c>
      <c r="B105" s="912">
        <f>'Sources and Uses Budget'!C104</f>
        <v>44737740</v>
      </c>
      <c r="C105" s="912">
        <f>'Sources and Uses Budget'!C104</f>
        <v>44737740</v>
      </c>
      <c r="D105" s="912">
        <f>'Sources and Uses Budget'!C104</f>
        <v>44737740</v>
      </c>
      <c r="E105" s="332">
        <f t="shared" si="2"/>
        <v>0</v>
      </c>
      <c r="F105" s="331"/>
      <c r="G105" s="911"/>
    </row>
    <row r="106" spans="1:7" s="581"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2"/>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1"/>
    </row>
    <row r="78" spans="1:9">
      <c r="A78" s="987" t="s">
        <v>1339</v>
      </c>
      <c r="B78" s="987"/>
      <c r="C78" s="987"/>
      <c r="D78" s="987"/>
      <c r="E78" s="987"/>
      <c r="F78" s="681"/>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85" zoomScaleNormal="85" workbookViewId="0">
      <selection activeCell="B1208" sqref="B120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2330</v>
      </c>
      <c r="B2" s="1043"/>
      <c r="C2" s="990"/>
      <c r="D2" s="990"/>
      <c r="E2" s="990"/>
      <c r="F2" s="990"/>
      <c r="G2" s="990"/>
      <c r="I2" t="s">
        <v>84</v>
      </c>
    </row>
    <row r="3" spans="1:9" ht="12.75">
      <c r="A3" s="190"/>
      <c r="B3" s="190"/>
      <c r="C3"/>
      <c r="D3"/>
      <c r="E3"/>
      <c r="F3"/>
      <c r="G3"/>
      <c r="I3" s="5" t="s">
        <v>1455</v>
      </c>
    </row>
    <row r="4" spans="1:9" ht="12.75">
      <c r="A4" s="1044" t="s">
        <v>2262</v>
      </c>
      <c r="B4" s="1044"/>
      <c r="C4" s="1045"/>
      <c r="D4" s="1045"/>
      <c r="E4" s="1045"/>
      <c r="F4" s="1045"/>
      <c r="G4" s="1045"/>
      <c r="I4" s="5" t="s">
        <v>1439</v>
      </c>
    </row>
    <row r="5" spans="1:9" ht="12.75">
      <c r="A5" s="1044" t="s">
        <v>1087</v>
      </c>
      <c r="B5" s="1044"/>
      <c r="C5" s="1045"/>
      <c r="D5" s="1045"/>
      <c r="E5" s="1045"/>
      <c r="F5" s="1045"/>
      <c r="G5" s="1045"/>
      <c r="I5" t="s">
        <v>132</v>
      </c>
    </row>
    <row r="6" spans="1:9" ht="13.7" customHeight="1"/>
    <row r="7" spans="1:9" ht="12.75">
      <c r="A7" s="1043" t="s">
        <v>1490</v>
      </c>
      <c r="B7" s="1043"/>
      <c r="C7" s="1046"/>
      <c r="D7" s="1046"/>
      <c r="E7" s="1046"/>
      <c r="F7" s="1046"/>
      <c r="G7" s="1046"/>
    </row>
    <row r="8" spans="1:9" ht="12.75">
      <c r="A8" s="1043" t="s">
        <v>1491</v>
      </c>
      <c r="B8" s="1043"/>
      <c r="C8" s="1046"/>
      <c r="D8" s="1046"/>
      <c r="E8" s="1046"/>
      <c r="F8" s="1046"/>
      <c r="G8" s="1046"/>
    </row>
    <row r="9" spans="1:9" ht="12.75">
      <c r="A9" s="192"/>
      <c r="B9" s="192"/>
      <c r="C9" s="190"/>
      <c r="D9" s="190"/>
      <c r="E9" s="190"/>
      <c r="F9" s="190"/>
      <c r="G9" s="190"/>
    </row>
    <row r="10" spans="1:9" ht="12.75">
      <c r="A10" s="1033" t="s">
        <v>1613</v>
      </c>
      <c r="B10" s="1033"/>
      <c r="C10" s="1033"/>
      <c r="D10" s="1033"/>
      <c r="E10" s="1033"/>
      <c r="F10" s="1033"/>
      <c r="G10" s="1033"/>
    </row>
    <row r="11" spans="1:9" ht="12.75">
      <c r="A11" s="190"/>
      <c r="B11" s="190"/>
    </row>
    <row r="12" spans="1:9" ht="13.7" customHeight="1">
      <c r="C12" s="190"/>
      <c r="D12" s="1047" t="s">
        <v>1612</v>
      </c>
      <c r="E12" s="1047"/>
      <c r="F12" s="1047"/>
      <c r="G12" s="623"/>
    </row>
    <row r="13" spans="1:9" ht="12.75">
      <c r="C13" s="190"/>
      <c r="D13" s="1047"/>
      <c r="E13" s="1047"/>
      <c r="F13" s="1047"/>
      <c r="G13" s="623"/>
    </row>
    <row r="14" spans="1:9" ht="12.75">
      <c r="A14" s="191"/>
      <c r="B14" s="191"/>
      <c r="C14" s="191"/>
      <c r="D14" s="999" t="s">
        <v>1477</v>
      </c>
      <c r="E14" s="999"/>
      <c r="F14" s="999"/>
    </row>
    <row r="15" spans="1:9" ht="12.75">
      <c r="A15" s="191"/>
      <c r="B15" s="191"/>
      <c r="C15" s="191"/>
    </row>
    <row r="16" spans="1:9" ht="14.45" customHeight="1">
      <c r="A16" s="271"/>
      <c r="B16" s="622" t="s">
        <v>1439</v>
      </c>
      <c r="C16" s="191"/>
      <c r="D16" s="972" t="s">
        <v>2164</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2165</v>
      </c>
      <c r="F19" s="24"/>
      <c r="G19" s="358"/>
    </row>
    <row r="20" spans="1:7" ht="12.75">
      <c r="A20" s="191"/>
      <c r="B20" s="191"/>
      <c r="C20" s="191"/>
    </row>
    <row r="21" spans="1:7" ht="14.25">
      <c r="A21" s="271"/>
      <c r="B21" s="622" t="s">
        <v>1439</v>
      </c>
      <c r="D21" s="972" t="s">
        <v>2166</v>
      </c>
      <c r="E21" s="979"/>
      <c r="F21" s="979"/>
    </row>
    <row r="22" spans="1:7" ht="12.75">
      <c r="D22" s="979"/>
      <c r="E22" s="979"/>
      <c r="F22" s="979"/>
    </row>
    <row r="23" spans="1:7" ht="12.75">
      <c r="D23" s="102"/>
      <c r="E23" s="104" t="s">
        <v>2167</v>
      </c>
      <c r="F23" s="102"/>
    </row>
    <row r="24" spans="1:7" ht="14.25">
      <c r="A24" s="271"/>
      <c r="B24" s="271"/>
      <c r="D24" s="44"/>
    </row>
    <row r="25" spans="1:7" ht="14.25">
      <c r="A25" s="271"/>
      <c r="B25" s="622" t="s">
        <v>132</v>
      </c>
      <c r="D25" s="979" t="s">
        <v>1471</v>
      </c>
      <c r="E25" s="979"/>
      <c r="F25" s="979"/>
    </row>
    <row r="26" spans="1:7" ht="14.25">
      <c r="A26" s="271"/>
      <c r="B26" s="271"/>
      <c r="D26" s="979"/>
      <c r="E26" s="979"/>
      <c r="F26" s="979"/>
    </row>
    <row r="27" spans="1:7" ht="14.25">
      <c r="A27" s="271"/>
      <c r="B27" s="271"/>
      <c r="D27" s="44"/>
    </row>
    <row r="28" spans="1:7" ht="14.25" customHeight="1">
      <c r="A28" s="271"/>
      <c r="B28" s="622" t="s">
        <v>1439</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89"/>
      <c r="F33" s="625"/>
    </row>
    <row r="34" spans="1:6" ht="14.45" customHeight="1">
      <c r="A34" s="271"/>
      <c r="B34" s="622" t="s">
        <v>1439</v>
      </c>
      <c r="D34" s="979" t="s">
        <v>2264</v>
      </c>
      <c r="E34" s="979"/>
      <c r="F34" s="979"/>
    </row>
    <row r="35" spans="1:6" ht="14.25">
      <c r="A35" s="271"/>
      <c r="B35" s="271"/>
      <c r="D35" s="979"/>
      <c r="E35" s="979"/>
      <c r="F35" s="979"/>
    </row>
    <row r="36" spans="1:6" ht="14.25">
      <c r="A36" s="271"/>
      <c r="B36" s="271"/>
      <c r="D36" s="209"/>
      <c r="E36" s="209"/>
      <c r="F36" s="209"/>
    </row>
    <row r="37" spans="1:6" ht="14.25">
      <c r="A37" s="271"/>
      <c r="B37" s="622" t="s">
        <v>1439</v>
      </c>
      <c r="D37" s="972" t="s">
        <v>1829</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2" t="s">
        <v>132</v>
      </c>
      <c r="D46" s="979" t="s">
        <v>1507</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2" t="s">
        <v>132</v>
      </c>
      <c r="D52" s="972" t="s">
        <v>1975</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2" t="s">
        <v>1439</v>
      </c>
      <c r="D59" s="972" t="s">
        <v>2022</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2" t="s">
        <v>132</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2" t="s">
        <v>1439</v>
      </c>
      <c r="D68" s="972" t="s">
        <v>2168</v>
      </c>
      <c r="E68" s="979"/>
      <c r="F68" s="979"/>
    </row>
    <row r="69" spans="1:6" ht="12.75">
      <c r="D69" s="979"/>
      <c r="E69" s="979"/>
      <c r="F69" s="979"/>
    </row>
    <row r="70" spans="1:6" ht="12.75">
      <c r="D70" s="979"/>
      <c r="E70" s="979"/>
      <c r="F70" s="979"/>
    </row>
    <row r="71" spans="1:6" ht="14.25">
      <c r="A71" s="271"/>
      <c r="B71" s="271"/>
      <c r="D71" s="209"/>
      <c r="E71" s="128" t="s">
        <v>2165</v>
      </c>
      <c r="F71" s="209"/>
    </row>
    <row r="72" spans="1:6" ht="14.25">
      <c r="A72" s="271"/>
      <c r="B72" s="271"/>
    </row>
    <row r="73" spans="1:6" ht="14.25">
      <c r="A73" s="271"/>
      <c r="B73" s="622" t="s">
        <v>132</v>
      </c>
      <c r="D73" s="979" t="s">
        <v>1611</v>
      </c>
      <c r="E73" s="979"/>
      <c r="F73" s="979"/>
    </row>
    <row r="74" spans="1:6" ht="12.75">
      <c r="D74" s="979"/>
      <c r="E74" s="979"/>
      <c r="F74" s="979"/>
    </row>
    <row r="75" spans="1:6" ht="12.75">
      <c r="D75" s="979"/>
      <c r="E75" s="979"/>
      <c r="F75" s="979"/>
    </row>
    <row r="76" spans="1:6" ht="12.75"/>
    <row r="77" spans="1:6" ht="14.25">
      <c r="A77" s="271" t="s">
        <v>244</v>
      </c>
      <c r="B77" s="622" t="s">
        <v>132</v>
      </c>
      <c r="D77" s="979" t="s">
        <v>1510</v>
      </c>
      <c r="E77" s="979"/>
      <c r="F77" s="979"/>
    </row>
    <row r="78" spans="1:6" ht="12.75">
      <c r="D78" s="979"/>
      <c r="E78" s="979"/>
      <c r="F78" s="979"/>
    </row>
    <row r="79" spans="1:6" ht="12.75"/>
    <row r="80" spans="1:6" ht="14.25">
      <c r="A80" s="271" t="s">
        <v>244</v>
      </c>
      <c r="B80" s="622" t="s">
        <v>1439</v>
      </c>
      <c r="D80" s="979" t="s">
        <v>1511</v>
      </c>
      <c r="E80" s="979"/>
      <c r="F80" s="979"/>
    </row>
    <row r="81" spans="1:7" ht="12.75">
      <c r="D81" s="979"/>
      <c r="E81" s="979"/>
      <c r="F81" s="979"/>
    </row>
    <row r="82" spans="1:7" ht="12.75">
      <c r="D82" s="979"/>
      <c r="E82" s="979"/>
      <c r="F82" s="979"/>
    </row>
    <row r="83" spans="1:7" ht="12.75">
      <c r="D83" s="44"/>
    </row>
    <row r="84" spans="1:7" ht="14.25">
      <c r="A84" s="271" t="s">
        <v>244</v>
      </c>
      <c r="B84" s="622" t="s">
        <v>1439</v>
      </c>
      <c r="D84" s="979" t="s">
        <v>1512</v>
      </c>
      <c r="E84" s="979"/>
      <c r="F84" s="979"/>
    </row>
    <row r="85" spans="1:7" ht="12.75">
      <c r="D85" s="979"/>
      <c r="E85" s="979"/>
      <c r="F85" s="979"/>
    </row>
    <row r="86" spans="1:7" ht="12.75"/>
    <row r="87" spans="1:7" ht="12.75">
      <c r="A87" s="1033" t="s">
        <v>1443</v>
      </c>
      <c r="B87" s="1033"/>
      <c r="C87" s="1033"/>
      <c r="D87" s="1033"/>
      <c r="E87" s="1033"/>
      <c r="F87" s="1033"/>
      <c r="G87" s="1033"/>
    </row>
    <row r="88" spans="1:7" ht="12.75">
      <c r="E88"/>
      <c r="F88"/>
      <c r="G88"/>
    </row>
    <row r="89" spans="1:7" ht="13.7" customHeight="1">
      <c r="C89" s="603"/>
      <c r="D89" s="1006" t="s">
        <v>1444</v>
      </c>
      <c r="E89" s="1006"/>
      <c r="F89" s="1006"/>
      <c r="G89"/>
    </row>
    <row r="90" spans="1:7" ht="13.7" customHeight="1">
      <c r="A90" s="44"/>
      <c r="B90" s="44"/>
      <c r="D90" s="979" t="s">
        <v>1614</v>
      </c>
      <c r="E90" s="979"/>
      <c r="F90" s="979"/>
      <c r="G90"/>
    </row>
    <row r="91" spans="1:7" ht="12.75">
      <c r="A91" s="44"/>
      <c r="B91" s="44"/>
      <c r="E91"/>
      <c r="F91"/>
      <c r="G91"/>
    </row>
    <row r="92" spans="1:7" ht="14.25" customHeight="1">
      <c r="A92" s="271"/>
      <c r="B92" s="622" t="s">
        <v>1439</v>
      </c>
      <c r="D92" s="972" t="s">
        <v>1948</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2" t="s">
        <v>132</v>
      </c>
      <c r="D101" s="1026" t="s">
        <v>1949</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2" t="s">
        <v>132</v>
      </c>
      <c r="D114" s="979" t="s">
        <v>1615</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2" t="s">
        <v>1439</v>
      </c>
      <c r="D122" s="979" t="s">
        <v>1616</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2" t="s">
        <v>1439</v>
      </c>
      <c r="D128" s="979" t="s">
        <v>1617</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2" t="s">
        <v>132</v>
      </c>
      <c r="D141" s="972" t="s">
        <v>1806</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1807</v>
      </c>
      <c r="E159" s="1028"/>
      <c r="F159" s="1028"/>
      <c r="G159"/>
    </row>
    <row r="160" spans="1:7" ht="13.9" customHeight="1">
      <c r="A160" s="18"/>
      <c r="B160" s="18"/>
      <c r="D160" s="44"/>
      <c r="G160"/>
    </row>
    <row r="161" spans="1:7" ht="13.9" customHeight="1">
      <c r="A161" s="271"/>
      <c r="B161" s="622" t="s">
        <v>1439</v>
      </c>
      <c r="D161" s="1026" t="s">
        <v>1835</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2" t="s">
        <v>132</v>
      </c>
      <c r="D165" s="1027" t="s">
        <v>1618</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2" t="s">
        <v>132</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1446</v>
      </c>
      <c r="B174" s="1033"/>
      <c r="C174" s="1033"/>
      <c r="D174" s="1033"/>
      <c r="E174" s="1033"/>
      <c r="F174" s="1033"/>
      <c r="G174" s="1033"/>
    </row>
    <row r="175" spans="1:7" ht="12.75">
      <c r="D175" s="44"/>
    </row>
    <row r="176" spans="1:7" ht="12.75">
      <c r="C176" s="603"/>
      <c r="D176" s="1029" t="s">
        <v>1445</v>
      </c>
      <c r="E176" s="1029"/>
      <c r="F176" s="1029"/>
    </row>
    <row r="177" spans="1:6" ht="12.75">
      <c r="A177" s="190"/>
      <c r="B177" s="190"/>
      <c r="C177" s="190"/>
      <c r="D177" s="1031" t="s">
        <v>1478</v>
      </c>
      <c r="E177" s="1031"/>
      <c r="F177" s="1031"/>
    </row>
    <row r="178" spans="1:6" ht="12.75">
      <c r="A178" s="191"/>
      <c r="B178" s="191"/>
      <c r="C178" s="191"/>
    </row>
    <row r="179" spans="1:6" ht="14.25">
      <c r="A179" s="271"/>
      <c r="B179" s="622" t="s">
        <v>1439</v>
      </c>
      <c r="D179" s="1032" t="s">
        <v>1809</v>
      </c>
      <c r="E179" s="1009"/>
      <c r="F179" s="1009"/>
    </row>
    <row r="180" spans="1:6" ht="14.25">
      <c r="A180" s="271"/>
      <c r="D180" s="313"/>
      <c r="E180" s="102"/>
      <c r="F180" s="102"/>
    </row>
    <row r="181" spans="1:6" ht="14.25">
      <c r="A181" s="271"/>
      <c r="B181" s="622" t="s">
        <v>132</v>
      </c>
      <c r="D181" s="1009" t="s">
        <v>1619</v>
      </c>
      <c r="E181" s="1009"/>
      <c r="F181" s="1009"/>
    </row>
    <row r="182" spans="1:6" ht="14.25">
      <c r="A182" s="271"/>
      <c r="D182" s="102"/>
      <c r="E182" s="102"/>
      <c r="F182" s="102"/>
    </row>
    <row r="183" spans="1:6" ht="14.25">
      <c r="A183" s="271"/>
      <c r="B183" s="622" t="s">
        <v>132</v>
      </c>
      <c r="D183" s="1034" t="s">
        <v>1889</v>
      </c>
      <c r="E183" s="1034"/>
      <c r="F183" s="1034"/>
    </row>
    <row r="184" spans="1:6" ht="13.7" customHeight="1">
      <c r="A184" s="271"/>
      <c r="D184" s="41" t="s">
        <v>943</v>
      </c>
      <c r="E184" s="972" t="s">
        <v>2261</v>
      </c>
      <c r="F184" s="972"/>
    </row>
    <row r="185" spans="1:6" ht="14.25">
      <c r="A185" s="271"/>
      <c r="D185" s="791"/>
      <c r="E185" s="972"/>
      <c r="F185" s="972"/>
    </row>
    <row r="186" spans="1:6" ht="14.25">
      <c r="A186" s="271"/>
      <c r="D186" s="791"/>
      <c r="E186" s="972"/>
      <c r="F186" s="972"/>
    </row>
    <row r="187" spans="1:6" ht="14.25">
      <c r="A187" s="271"/>
      <c r="D187"/>
      <c r="E187" s="972"/>
      <c r="F187" s="972"/>
    </row>
    <row r="188" spans="1:6" ht="13.7" customHeight="1">
      <c r="A188" s="271"/>
      <c r="D188" s="791" t="s">
        <v>944</v>
      </c>
      <c r="E188" s="972" t="s">
        <v>1890</v>
      </c>
      <c r="F188" s="972"/>
    </row>
    <row r="189" spans="1:6" ht="13.7" customHeight="1">
      <c r="A189" s="271"/>
      <c r="D189" s="791"/>
      <c r="E189" s="972"/>
      <c r="F189" s="972"/>
    </row>
    <row r="190" spans="1:6" ht="13.7" customHeight="1">
      <c r="A190" s="271"/>
      <c r="D190" s="791"/>
      <c r="E190" s="972"/>
      <c r="F190" s="972"/>
    </row>
    <row r="191" spans="1:6" ht="13.7" customHeight="1">
      <c r="A191" s="271"/>
      <c r="D191" s="791"/>
      <c r="E191" s="972"/>
      <c r="F191" s="972"/>
    </row>
    <row r="192" spans="1:6" ht="13.7" customHeight="1">
      <c r="A192" s="271"/>
      <c r="D192" s="791"/>
      <c r="E192" s="972"/>
      <c r="F192" s="972"/>
    </row>
    <row r="193" spans="1:7" ht="14.25">
      <c r="A193" s="271"/>
      <c r="D193"/>
      <c r="E193" s="972"/>
      <c r="F193" s="972"/>
    </row>
    <row r="194" spans="1:7" ht="14.25">
      <c r="A194" s="271"/>
      <c r="D194"/>
      <c r="E194" s="972"/>
      <c r="F194" s="972"/>
    </row>
    <row r="195" spans="1:7" ht="12.75"/>
    <row r="196" spans="1:7" ht="14.25">
      <c r="A196" s="271"/>
      <c r="B196" s="622" t="s">
        <v>132</v>
      </c>
      <c r="D196" s="979" t="s">
        <v>1620</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2354</v>
      </c>
      <c r="E200" s="1028"/>
      <c r="F200" s="1028"/>
    </row>
    <row r="201" spans="1:7" ht="12.75">
      <c r="D201" s="638"/>
      <c r="E201" s="638"/>
      <c r="F201" s="638"/>
    </row>
    <row r="202" spans="1:7" ht="14.25">
      <c r="A202" s="271"/>
      <c r="B202" s="622" t="s">
        <v>132</v>
      </c>
      <c r="D202" s="999" t="s">
        <v>1621</v>
      </c>
      <c r="E202" s="999"/>
      <c r="F202" s="999"/>
    </row>
    <row r="203" spans="1:7" ht="12.75"/>
    <row r="204" spans="1:7" ht="12.75">
      <c r="A204" s="1033" t="s">
        <v>1448</v>
      </c>
      <c r="B204" s="1033"/>
      <c r="C204" s="1033"/>
      <c r="D204" s="1033"/>
      <c r="E204" s="1033"/>
      <c r="F204" s="1033"/>
      <c r="G204" s="1033"/>
    </row>
    <row r="205" spans="1:7" ht="12.75"/>
    <row r="206" spans="1:7" ht="12.75">
      <c r="C206" s="604"/>
      <c r="D206" s="1029" t="s">
        <v>1447</v>
      </c>
      <c r="E206" s="1029"/>
      <c r="F206" s="1029"/>
    </row>
    <row r="207" spans="1:7" ht="12.75">
      <c r="A207" s="605"/>
      <c r="B207" s="605"/>
      <c r="C207" s="604"/>
      <c r="D207" s="1029" t="s">
        <v>732</v>
      </c>
      <c r="E207" s="1029"/>
      <c r="F207" s="1029"/>
    </row>
    <row r="208" spans="1:7" ht="12.75">
      <c r="A208" s="190"/>
      <c r="B208" s="190"/>
      <c r="C208" s="190"/>
      <c r="D208" s="1009" t="s">
        <v>1479</v>
      </c>
      <c r="E208" s="1009"/>
      <c r="F208" s="1009"/>
    </row>
    <row r="209" spans="1:6" ht="12.75">
      <c r="A209" s="190"/>
      <c r="B209" s="190"/>
      <c r="C209" s="190"/>
    </row>
    <row r="210" spans="1:6" ht="12.75">
      <c r="A210" s="190"/>
      <c r="B210" s="190"/>
      <c r="C210" s="190"/>
      <c r="D210" s="979" t="s">
        <v>1489</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2" t="s">
        <v>132</v>
      </c>
      <c r="C222" s="191"/>
      <c r="D222" s="999" t="s">
        <v>308</v>
      </c>
      <c r="E222" s="999"/>
      <c r="F222" s="999"/>
    </row>
    <row r="223" spans="1:6" ht="14.25">
      <c r="A223" s="271"/>
      <c r="C223" s="191"/>
      <c r="D223" s="1009" t="s">
        <v>1157</v>
      </c>
      <c r="E223" s="1009"/>
      <c r="F223" s="1009"/>
    </row>
    <row r="224" spans="1:6" ht="14.25">
      <c r="A224" s="271"/>
      <c r="B224" s="271"/>
      <c r="C224" s="191"/>
      <c r="D224" s="104" t="s">
        <v>1496</v>
      </c>
      <c r="E224" s="1039" t="s">
        <v>2169</v>
      </c>
      <c r="F224" s="1039"/>
    </row>
    <row r="225" spans="1:6" ht="12.75">
      <c r="D225" s="1032" t="s">
        <v>1472</v>
      </c>
      <c r="E225" s="1009"/>
      <c r="F225" s="1009"/>
    </row>
    <row r="226" spans="1:6" ht="12.75"/>
    <row r="227" spans="1:6" ht="14.25">
      <c r="A227" s="271"/>
      <c r="B227" s="622" t="s">
        <v>132</v>
      </c>
      <c r="D227" s="1009" t="s">
        <v>309</v>
      </c>
      <c r="E227" s="1009"/>
      <c r="F227" s="1009"/>
    </row>
    <row r="228" spans="1:6" ht="14.25">
      <c r="A228" s="271"/>
      <c r="D228" s="999" t="s">
        <v>1157</v>
      </c>
      <c r="E228" s="999"/>
      <c r="F228" s="999"/>
    </row>
    <row r="229" spans="1:6" ht="14.25">
      <c r="A229" s="271"/>
      <c r="B229" s="271"/>
      <c r="D229" s="63" t="s">
        <v>1497</v>
      </c>
      <c r="E229" s="1039" t="s">
        <v>2170</v>
      </c>
      <c r="F229" s="1039"/>
    </row>
    <row r="230" spans="1:6" ht="12.75">
      <c r="D230" s="1009" t="s">
        <v>1473</v>
      </c>
      <c r="E230" s="1009"/>
      <c r="F230" s="1009"/>
    </row>
    <row r="231" spans="1:6" ht="12.75"/>
    <row r="232" spans="1:6" ht="14.25">
      <c r="A232" s="271"/>
      <c r="B232" s="622" t="s">
        <v>132</v>
      </c>
      <c r="D232" s="1009" t="s">
        <v>676</v>
      </c>
      <c r="E232" s="1009"/>
      <c r="F232" s="1009"/>
    </row>
    <row r="233" spans="1:6" ht="14.25">
      <c r="A233" s="271"/>
      <c r="D233" s="44" t="s">
        <v>1157</v>
      </c>
    </row>
    <row r="234" spans="1:6" ht="14.25">
      <c r="A234" s="271"/>
      <c r="B234" s="271"/>
      <c r="D234" s="63" t="s">
        <v>1496</v>
      </c>
      <c r="E234" s="1039" t="s">
        <v>2171</v>
      </c>
      <c r="F234" s="1039"/>
    </row>
    <row r="235" spans="1:6" ht="14.25">
      <c r="A235" s="271"/>
      <c r="B235" s="271"/>
      <c r="D235" s="979" t="s">
        <v>1499</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1474</v>
      </c>
      <c r="E240" s="979"/>
      <c r="F240" s="979"/>
    </row>
    <row r="241" spans="1:6" ht="12.75">
      <c r="D241" s="44"/>
    </row>
    <row r="242" spans="1:6" ht="14.25">
      <c r="A242" s="271"/>
      <c r="B242" s="622" t="s">
        <v>1439</v>
      </c>
      <c r="D242" s="1009" t="s">
        <v>677</v>
      </c>
      <c r="E242" s="1009"/>
      <c r="F242" s="1009"/>
    </row>
    <row r="243" spans="1:6" ht="14.25">
      <c r="A243" s="271"/>
      <c r="D243" s="1009" t="s">
        <v>1157</v>
      </c>
      <c r="E243" s="1009"/>
      <c r="F243" s="1009"/>
    </row>
    <row r="244" spans="1:6" ht="14.25">
      <c r="A244" s="271"/>
      <c r="B244" s="271"/>
      <c r="D244" s="63" t="s">
        <v>1496</v>
      </c>
      <c r="E244" s="1039" t="s">
        <v>2172</v>
      </c>
      <c r="F244" s="1039"/>
    </row>
    <row r="245" spans="1:6" ht="12.75">
      <c r="D245" s="1032" t="s">
        <v>2026</v>
      </c>
      <c r="E245" s="1009"/>
      <c r="F245" s="1009"/>
    </row>
    <row r="246" spans="1:6" ht="12.75">
      <c r="D246" s="102"/>
      <c r="E246" s="102"/>
      <c r="F246" s="102"/>
    </row>
    <row r="247" spans="1:6" ht="14.25">
      <c r="A247" s="271"/>
      <c r="B247" s="622" t="s">
        <v>132</v>
      </c>
      <c r="D247" s="1032" t="s">
        <v>2025</v>
      </c>
      <c r="E247" s="1009"/>
      <c r="F247" s="1009"/>
    </row>
    <row r="248" spans="1:6" ht="14.25">
      <c r="A248" s="271"/>
      <c r="D248" s="1009" t="s">
        <v>1157</v>
      </c>
      <c r="E248" s="1009"/>
      <c r="F248" s="1009"/>
    </row>
    <row r="249" spans="1:6" ht="14.25">
      <c r="A249" s="271"/>
      <c r="B249" s="271"/>
      <c r="D249" s="63" t="s">
        <v>1496</v>
      </c>
      <c r="E249" s="1039" t="s">
        <v>2173</v>
      </c>
      <c r="F249" s="1039"/>
    </row>
    <row r="250" spans="1:6" ht="12.75">
      <c r="D250" s="1032" t="s">
        <v>2027</v>
      </c>
      <c r="E250" s="1009"/>
      <c r="F250" s="1009"/>
    </row>
    <row r="251" spans="1:6" ht="12.75">
      <c r="D251" s="44"/>
    </row>
    <row r="252" spans="1:6" ht="14.25">
      <c r="A252" s="271"/>
      <c r="B252" s="622" t="s">
        <v>132</v>
      </c>
      <c r="D252" s="102" t="s">
        <v>1519</v>
      </c>
      <c r="E252" s="102"/>
      <c r="F252" s="102"/>
    </row>
    <row r="253" spans="1:6" ht="14.25">
      <c r="A253" s="271"/>
      <c r="B253"/>
      <c r="D253" s="972" t="s">
        <v>1830</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2" t="s">
        <v>132</v>
      </c>
      <c r="D257" s="1009" t="s">
        <v>1066</v>
      </c>
      <c r="E257" s="1009"/>
      <c r="F257" s="1009"/>
    </row>
    <row r="258" spans="1:7" ht="14.25">
      <c r="A258" s="271"/>
      <c r="D258" s="102"/>
      <c r="E258" s="102"/>
      <c r="F258" s="102"/>
    </row>
    <row r="259" spans="1:7" ht="12.75">
      <c r="A259" s="1033" t="s">
        <v>1450</v>
      </c>
      <c r="B259" s="1033"/>
      <c r="C259" s="1033"/>
      <c r="D259" s="1033"/>
      <c r="E259" s="1033"/>
      <c r="F259" s="1033"/>
      <c r="G259" s="1033"/>
    </row>
    <row r="260" spans="1:7" ht="12.75">
      <c r="D260" s="44"/>
    </row>
    <row r="261" spans="1:7" ht="12.75">
      <c r="C261" s="603"/>
      <c r="D261" s="1000" t="s">
        <v>1449</v>
      </c>
      <c r="E261" s="1000"/>
      <c r="F261" s="1000"/>
    </row>
    <row r="262" spans="1:7" ht="12.75">
      <c r="A262" s="190"/>
      <c r="B262" s="190"/>
      <c r="C262" s="190"/>
      <c r="D262" s="999" t="s">
        <v>1480</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2" t="s">
        <v>1439</v>
      </c>
      <c r="C265" s="898"/>
      <c r="D265" s="1020" t="s">
        <v>2107</v>
      </c>
      <c r="E265" s="1020"/>
      <c r="F265" s="1020"/>
      <c r="G265"/>
    </row>
    <row r="266" spans="1:7" ht="14.25">
      <c r="A266" s="271"/>
      <c r="B266" s="899"/>
      <c r="C266" s="898"/>
      <c r="D266" s="1020"/>
      <c r="E266" s="1020"/>
      <c r="F266" s="1020"/>
      <c r="G266"/>
    </row>
    <row r="267" spans="1:7" ht="14.25">
      <c r="A267" s="271"/>
      <c r="B267" s="899"/>
      <c r="C267" s="898"/>
      <c r="D267" s="1020"/>
      <c r="E267" s="1020"/>
      <c r="F267" s="1020"/>
      <c r="G267"/>
    </row>
    <row r="268" spans="1:7" ht="14.45" customHeight="1">
      <c r="A268" s="271"/>
      <c r="B268" s="899"/>
      <c r="C268" s="898"/>
      <c r="D268" s="1020"/>
      <c r="E268" s="1020"/>
      <c r="F268" s="1020"/>
      <c r="G268"/>
    </row>
    <row r="269" spans="1:7" ht="14.25">
      <c r="A269" s="271"/>
      <c r="B269" s="899"/>
      <c r="C269" s="898"/>
      <c r="D269" s="900"/>
      <c r="E269" s="900"/>
      <c r="F269" s="900"/>
      <c r="G269"/>
    </row>
    <row r="270" spans="1:7" ht="14.25">
      <c r="A270" s="271"/>
      <c r="B270" s="622" t="s">
        <v>1439</v>
      </c>
      <c r="C270" s="898"/>
      <c r="D270" s="1020" t="s">
        <v>2108</v>
      </c>
      <c r="E270" s="1020"/>
      <c r="F270" s="1020"/>
      <c r="G270"/>
    </row>
    <row r="271" spans="1:7" ht="14.25">
      <c r="A271" s="271"/>
      <c r="B271" s="899"/>
      <c r="C271" s="898"/>
      <c r="D271" s="1020"/>
      <c r="E271" s="1020"/>
      <c r="F271" s="1020"/>
      <c r="G271"/>
    </row>
    <row r="272" spans="1:7" ht="14.25">
      <c r="A272" s="271"/>
      <c r="B272" s="899"/>
      <c r="C272" s="898"/>
      <c r="D272" s="1020"/>
      <c r="E272" s="1020"/>
      <c r="F272" s="1020"/>
      <c r="G272"/>
    </row>
    <row r="273" spans="1:7" ht="14.25">
      <c r="A273" s="271"/>
      <c r="B273" s="899"/>
      <c r="C273" s="898"/>
      <c r="D273" s="1020"/>
      <c r="E273" s="1020"/>
      <c r="F273" s="1020"/>
      <c r="G273"/>
    </row>
    <row r="274" spans="1:7" ht="14.25">
      <c r="A274" s="271"/>
      <c r="B274" s="899"/>
      <c r="C274" s="898"/>
      <c r="D274" s="1020"/>
      <c r="E274" s="1020"/>
      <c r="F274" s="1020"/>
      <c r="G274"/>
    </row>
    <row r="275" spans="1:7" ht="14.25">
      <c r="A275" s="271"/>
      <c r="B275" s="899"/>
      <c r="C275" s="898"/>
      <c r="D275" s="900"/>
      <c r="E275" s="900"/>
      <c r="F275" s="900"/>
      <c r="G275"/>
    </row>
    <row r="276" spans="1:7" ht="14.25">
      <c r="A276" s="271"/>
      <c r="B276" s="899"/>
      <c r="C276" s="898"/>
      <c r="D276" s="1020" t="s">
        <v>1630</v>
      </c>
      <c r="E276" s="1020"/>
      <c r="F276" s="1020"/>
      <c r="G276"/>
    </row>
    <row r="277" spans="1:7" ht="14.25">
      <c r="A277" s="271"/>
      <c r="B277" s="899"/>
      <c r="C277" s="898"/>
      <c r="D277" s="1020"/>
      <c r="E277" s="1020"/>
      <c r="F277" s="1020"/>
      <c r="G277"/>
    </row>
    <row r="278" spans="1:7" ht="14.25">
      <c r="A278" s="271"/>
      <c r="B278" s="899"/>
      <c r="C278" s="898"/>
      <c r="D278" s="1020"/>
      <c r="E278" s="1020"/>
      <c r="F278" s="1020"/>
      <c r="G278"/>
    </row>
    <row r="279" spans="1:7" ht="14.25">
      <c r="A279" s="271"/>
      <c r="B279" s="899"/>
      <c r="C279" s="898"/>
      <c r="D279" s="1020"/>
      <c r="E279" s="1020"/>
      <c r="F279" s="1020"/>
      <c r="G279"/>
    </row>
    <row r="280" spans="1:7" ht="14.25">
      <c r="A280" s="271"/>
      <c r="B280" s="899"/>
      <c r="C280" s="898"/>
      <c r="D280" s="1020"/>
      <c r="E280" s="1020"/>
      <c r="F280" s="1020"/>
      <c r="G280"/>
    </row>
    <row r="281" spans="1:7" ht="14.25">
      <c r="A281" s="271"/>
      <c r="B281" s="271"/>
      <c r="D281" s="209"/>
      <c r="E281" s="209"/>
      <c r="F281" s="209"/>
      <c r="G281"/>
    </row>
    <row r="282" spans="1:7" s="458" customFormat="1" ht="14.45" customHeight="1">
      <c r="A282" s="289"/>
      <c r="B282" s="622" t="s">
        <v>132</v>
      </c>
      <c r="C282" s="816"/>
      <c r="D282" s="1022" t="s">
        <v>2020</v>
      </c>
      <c r="E282" s="1022"/>
      <c r="F282" s="1022"/>
      <c r="G282" s="817"/>
    </row>
    <row r="283" spans="1:7" s="458" customFormat="1" ht="14.25">
      <c r="A283" s="289"/>
      <c r="B283" s="816"/>
      <c r="C283" s="816"/>
      <c r="D283" s="1022"/>
      <c r="E283" s="1022"/>
      <c r="F283" s="1022"/>
      <c r="G283" s="817"/>
    </row>
    <row r="284" spans="1:7" s="458" customFormat="1" ht="14.25">
      <c r="A284" s="289"/>
      <c r="B284" s="816"/>
      <c r="C284" s="816"/>
      <c r="D284" s="1022"/>
      <c r="E284" s="1022"/>
      <c r="F284" s="1022"/>
      <c r="G284" s="817"/>
    </row>
    <row r="285" spans="1:7" s="458" customFormat="1" ht="12.75">
      <c r="A285" s="816"/>
      <c r="B285" s="816"/>
      <c r="C285" s="816"/>
      <c r="D285" s="944"/>
      <c r="E285" s="945" t="s">
        <v>2174</v>
      </c>
      <c r="F285" s="944"/>
      <c r="G285" s="817"/>
    </row>
    <row r="286" spans="1:7" ht="14.25">
      <c r="A286" s="271"/>
      <c r="B286" s="271"/>
      <c r="D286" s="44"/>
      <c r="E286"/>
      <c r="F286"/>
      <c r="G286"/>
    </row>
    <row r="287" spans="1:7" ht="14.25">
      <c r="A287" s="271"/>
      <c r="B287" s="622" t="s">
        <v>1439</v>
      </c>
      <c r="D287" s="999" t="s">
        <v>1158</v>
      </c>
      <c r="E287" s="999"/>
      <c r="F287" s="999"/>
      <c r="G287"/>
    </row>
    <row r="288" spans="1:7" ht="14.25">
      <c r="A288" s="271"/>
      <c r="B288" s="271"/>
      <c r="D288" s="999" t="s">
        <v>1631</v>
      </c>
      <c r="E288" s="999"/>
      <c r="F288" s="999"/>
      <c r="G288"/>
    </row>
    <row r="289" spans="1:7" ht="14.25">
      <c r="A289" s="271"/>
      <c r="B289" s="271"/>
      <c r="D289" s="3" t="s">
        <v>1088</v>
      </c>
      <c r="E289" s="945" t="s">
        <v>2175</v>
      </c>
      <c r="F289" s="3"/>
    </row>
    <row r="290" spans="1:7" ht="12.75">
      <c r="D290" s="28"/>
    </row>
    <row r="291" spans="1:7" ht="14.25">
      <c r="A291" s="271"/>
      <c r="B291" s="622" t="s">
        <v>1439</v>
      </c>
      <c r="D291" s="979" t="s">
        <v>1632</v>
      </c>
      <c r="E291" s="979"/>
      <c r="F291" s="979"/>
    </row>
    <row r="292" spans="1:7" ht="14.25">
      <c r="A292" s="271"/>
      <c r="B292" s="271"/>
      <c r="D292" s="979"/>
      <c r="E292" s="979"/>
      <c r="F292" s="979"/>
    </row>
    <row r="293" spans="1:7" ht="12.75">
      <c r="D293" s="28"/>
    </row>
    <row r="294" spans="1:7" ht="12.75">
      <c r="A294" s="1033" t="s">
        <v>1452</v>
      </c>
      <c r="B294" s="1033"/>
      <c r="C294" s="1033"/>
      <c r="D294" s="1033"/>
      <c r="E294" s="1033"/>
      <c r="F294" s="1033"/>
      <c r="G294" s="1033"/>
    </row>
    <row r="295" spans="1:7" ht="12.75">
      <c r="D295" s="28"/>
    </row>
    <row r="296" spans="1:7" ht="12.75">
      <c r="C296" s="603"/>
      <c r="D296" s="1000" t="s">
        <v>1451</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2" t="s">
        <v>132</v>
      </c>
      <c r="D299" s="972" t="s">
        <v>1972</v>
      </c>
      <c r="E299" s="979"/>
      <c r="F299" s="979"/>
    </row>
    <row r="300" spans="1:7" ht="12.75">
      <c r="D300" s="979"/>
      <c r="E300" s="979"/>
      <c r="F300" s="979"/>
    </row>
    <row r="301" spans="1:7" ht="12.75">
      <c r="D301" s="979"/>
      <c r="E301" s="979"/>
      <c r="F301" s="979"/>
    </row>
    <row r="302" spans="1:7" ht="12.75">
      <c r="D302" s="24"/>
      <c r="E302" s="24"/>
      <c r="F302" s="24"/>
    </row>
    <row r="303" spans="1:7" s="458" customFormat="1" ht="14.45" customHeight="1">
      <c r="A303" s="289"/>
      <c r="B303" s="622" t="s">
        <v>132</v>
      </c>
      <c r="C303" s="816"/>
      <c r="D303" s="1022" t="s">
        <v>2021</v>
      </c>
      <c r="E303" s="1022"/>
      <c r="F303" s="1022"/>
      <c r="G303" s="817"/>
    </row>
    <row r="304" spans="1:7" s="458" customFormat="1" ht="12.75">
      <c r="A304" s="816"/>
      <c r="B304" s="816"/>
      <c r="C304" s="816"/>
      <c r="D304" s="1022"/>
      <c r="E304" s="1022"/>
      <c r="F304" s="1022"/>
      <c r="G304" s="817"/>
    </row>
    <row r="305" spans="1:7" s="458" customFormat="1" ht="12.75">
      <c r="A305" s="816"/>
      <c r="B305" s="816"/>
      <c r="C305" s="816"/>
      <c r="D305" s="1022"/>
      <c r="E305" s="1022"/>
      <c r="F305" s="1022"/>
      <c r="G305" s="817"/>
    </row>
    <row r="306" spans="1:7" s="458" customFormat="1" ht="12.75">
      <c r="A306" s="816"/>
      <c r="B306" s="816"/>
      <c r="C306" s="816"/>
      <c r="E306" s="377" t="s">
        <v>2176</v>
      </c>
      <c r="F306" s="377"/>
      <c r="G306" s="817"/>
    </row>
    <row r="307" spans="1:7" ht="12.75">
      <c r="D307" s="212"/>
    </row>
    <row r="308" spans="1:7" ht="12.75">
      <c r="A308" s="1033" t="s">
        <v>1453</v>
      </c>
      <c r="B308" s="1033"/>
      <c r="C308" s="1033"/>
      <c r="D308" s="1033"/>
      <c r="E308" s="1033"/>
      <c r="F308" s="1033"/>
      <c r="G308" s="1033"/>
    </row>
    <row r="309" spans="1:7" ht="12.75">
      <c r="D309" s="212"/>
    </row>
    <row r="310" spans="1:7" ht="12.75">
      <c r="C310" s="190"/>
      <c r="D310" s="1006" t="s">
        <v>1633</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1634</v>
      </c>
      <c r="E314" s="1024"/>
      <c r="F314" s="1024"/>
    </row>
    <row r="315" spans="1:7" ht="12" customHeight="1"/>
    <row r="316" spans="1:7" ht="14.45" customHeight="1">
      <c r="A316" s="271"/>
      <c r="B316" s="622" t="s">
        <v>1439</v>
      </c>
      <c r="D316" s="979" t="s">
        <v>1635</v>
      </c>
      <c r="E316" s="979"/>
      <c r="F316" s="979"/>
    </row>
    <row r="317" spans="1:7" ht="14.25">
      <c r="A317" s="271"/>
      <c r="B317" s="271"/>
      <c r="D317" s="979"/>
      <c r="E317" s="979"/>
      <c r="F317" s="979"/>
    </row>
    <row r="318" spans="1:7" ht="12.75"/>
    <row r="319" spans="1:7" ht="14.45" customHeight="1">
      <c r="A319" s="271"/>
      <c r="B319" s="622" t="s">
        <v>132</v>
      </c>
      <c r="D319" s="979" t="s">
        <v>1636</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2" t="s">
        <v>1439</v>
      </c>
      <c r="D323" s="979" t="s">
        <v>1637</v>
      </c>
      <c r="E323" s="979"/>
      <c r="F323" s="979"/>
    </row>
    <row r="324" spans="1:7" ht="14.25">
      <c r="A324" s="271"/>
      <c r="B324" s="271"/>
      <c r="D324" s="979"/>
      <c r="E324" s="979"/>
      <c r="F324" s="979"/>
    </row>
    <row r="325" spans="1:7" ht="12.75">
      <c r="A325" s="18"/>
      <c r="B325" s="18"/>
      <c r="D325" s="44"/>
    </row>
    <row r="326" spans="1:7" ht="12.75">
      <c r="A326" s="1033" t="s">
        <v>1440</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1481</v>
      </c>
      <c r="E329" s="999"/>
      <c r="F329" s="999"/>
      <c r="G329"/>
    </row>
    <row r="330" spans="1:7" ht="12.75">
      <c r="C330" s="18"/>
      <c r="D330" s="182"/>
      <c r="G330"/>
    </row>
    <row r="331" spans="1:7" ht="12.75">
      <c r="B331" s="622" t="s">
        <v>1439</v>
      </c>
      <c r="D331" s="999" t="s">
        <v>1638</v>
      </c>
      <c r="E331" s="999"/>
      <c r="F331" s="999"/>
      <c r="G331"/>
    </row>
    <row r="332" spans="1:7" ht="14.25">
      <c r="A332" s="271"/>
      <c r="B332" s="271"/>
      <c r="D332" s="429"/>
      <c r="G332"/>
    </row>
    <row r="333" spans="1:7" ht="14.25">
      <c r="A333" s="271"/>
      <c r="B333" s="622" t="s">
        <v>1439</v>
      </c>
      <c r="D333" s="999" t="s">
        <v>1639</v>
      </c>
      <c r="E333" s="999"/>
      <c r="F333" s="999"/>
      <c r="G333"/>
    </row>
    <row r="334" spans="1:7" ht="12.75">
      <c r="G334"/>
    </row>
    <row r="335" spans="1:7" ht="14.45" customHeight="1">
      <c r="A335" s="271"/>
      <c r="B335" s="622" t="s">
        <v>1439</v>
      </c>
      <c r="D335" s="979" t="s">
        <v>1645</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2" t="s">
        <v>132</v>
      </c>
      <c r="D351" s="979" t="s">
        <v>1640</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2" t="s">
        <v>1439</v>
      </c>
      <c r="D361" s="996" t="s">
        <v>2177</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2178</v>
      </c>
      <c r="F366" s="209"/>
    </row>
    <row r="367" spans="1:6" ht="13.5" thickBot="1">
      <c r="D367" s="792"/>
      <c r="E367" s="98"/>
      <c r="F367" s="98"/>
    </row>
    <row r="368" spans="1:6" ht="14.25" thickTop="1" thickBot="1">
      <c r="D368" s="1048" t="s">
        <v>1318</v>
      </c>
      <c r="E368" s="1048"/>
      <c r="F368" s="1048"/>
    </row>
    <row r="369" spans="1:6" ht="13.5" thickTop="1">
      <c r="D369" s="1049" t="s">
        <v>1641</v>
      </c>
      <c r="E369" s="1049"/>
      <c r="F369" s="1049"/>
    </row>
    <row r="370" spans="1:6" ht="12.75">
      <c r="D370" s="44"/>
    </row>
    <row r="371" spans="1:6" ht="14.25">
      <c r="A371" s="271"/>
      <c r="B371" s="622" t="s">
        <v>1439</v>
      </c>
      <c r="C371" s="365"/>
      <c r="D371" s="1016" t="s">
        <v>2268</v>
      </c>
      <c r="E371" s="1016"/>
      <c r="F371" s="1016"/>
    </row>
    <row r="372" spans="1:6" ht="14.25">
      <c r="A372" s="271"/>
      <c r="B372" s="271"/>
      <c r="C372" s="365"/>
      <c r="D372" s="429"/>
    </row>
    <row r="373" spans="1:6" ht="14.25">
      <c r="A373" s="271"/>
      <c r="B373" s="622" t="s">
        <v>1439</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0"/>
      <c r="E383" s="640"/>
      <c r="F383" s="640"/>
    </row>
    <row r="384" spans="1:6" ht="14.25">
      <c r="A384" s="271"/>
      <c r="B384" s="622" t="s">
        <v>132</v>
      </c>
      <c r="C384" s="365"/>
      <c r="D384" s="1036" t="s">
        <v>1642</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0"/>
      <c r="E388" s="640"/>
      <c r="F388" s="640"/>
    </row>
    <row r="389" spans="1:6" ht="12.75">
      <c r="A389" s="365"/>
      <c r="B389" s="365"/>
      <c r="C389" s="365"/>
      <c r="D389" s="1036" t="s">
        <v>1643</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1646</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29"/>
    </row>
    <row r="417" spans="1:6" ht="13.7" customHeight="1">
      <c r="A417" s="365"/>
      <c r="B417" s="622" t="s">
        <v>132</v>
      </c>
      <c r="C417" s="365"/>
      <c r="D417" s="1036" t="s">
        <v>1644</v>
      </c>
      <c r="E417" s="1036"/>
      <c r="F417" s="1036"/>
    </row>
    <row r="418" spans="1:6" ht="12.75">
      <c r="A418" s="365"/>
      <c r="B418" s="365"/>
      <c r="C418" s="365"/>
      <c r="D418" s="1036"/>
      <c r="E418" s="1036"/>
      <c r="F418" s="1036"/>
    </row>
    <row r="419" spans="1:6" ht="12.75">
      <c r="A419" s="365"/>
      <c r="B419" s="365"/>
      <c r="C419" s="365"/>
      <c r="D419" s="640"/>
      <c r="E419" s="640"/>
      <c r="F419" s="640"/>
    </row>
    <row r="420" spans="1:6" ht="12.75">
      <c r="A420" s="365"/>
      <c r="B420" s="622" t="s">
        <v>132</v>
      </c>
      <c r="C420" s="365"/>
      <c r="D420" s="1026" t="s">
        <v>1969</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2" t="s">
        <v>132</v>
      </c>
      <c r="C426" s="365"/>
      <c r="D426" s="1026" t="s">
        <v>1950</v>
      </c>
      <c r="E426" s="1026"/>
      <c r="F426" s="1026"/>
    </row>
    <row r="427" spans="1:6" ht="14.25">
      <c r="A427" s="513"/>
      <c r="B427" s="513"/>
      <c r="C427" s="365"/>
      <c r="D427" s="1026"/>
      <c r="E427" s="1026"/>
      <c r="F427" s="1026"/>
    </row>
    <row r="428" spans="1:6" ht="14.25">
      <c r="A428" s="513"/>
      <c r="B428" s="513"/>
      <c r="C428" s="365"/>
      <c r="D428" s="1026"/>
      <c r="E428" s="1026"/>
      <c r="F428" s="1026"/>
    </row>
    <row r="429" spans="1:6" ht="14.25">
      <c r="A429" s="513"/>
      <c r="B429" s="513"/>
      <c r="C429" s="365"/>
      <c r="D429" s="1026"/>
      <c r="E429" s="1026"/>
      <c r="F429" s="1026"/>
    </row>
    <row r="430" spans="1:6" ht="14.25" customHeight="1">
      <c r="A430" s="513"/>
      <c r="B430" s="513"/>
      <c r="C430" s="365"/>
      <c r="D430" s="1055" t="s">
        <v>1965</v>
      </c>
      <c r="E430" s="1055"/>
      <c r="F430" s="1055"/>
    </row>
    <row r="431" spans="1:6" ht="12.75">
      <c r="D431" s="44"/>
    </row>
    <row r="432" spans="1:6" ht="14.45" customHeight="1">
      <c r="A432" s="271"/>
      <c r="B432" s="622" t="s">
        <v>132</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2" t="s">
        <v>132</v>
      </c>
      <c r="C464" s="207"/>
      <c r="D464" s="1001" t="s">
        <v>2180</v>
      </c>
      <c r="E464" s="999"/>
      <c r="F464" s="999"/>
    </row>
    <row r="465" spans="1:6" ht="12.75">
      <c r="D465"/>
      <c r="E465" s="946" t="s">
        <v>2179</v>
      </c>
      <c r="F465" s="946"/>
    </row>
    <row r="466" spans="1:6" ht="13.7" customHeight="1">
      <c r="D466" s="972" t="s">
        <v>1947</v>
      </c>
      <c r="E466" s="979"/>
      <c r="F466" s="979"/>
    </row>
    <row r="467" spans="1:6" ht="13.7" customHeight="1">
      <c r="D467" s="979"/>
      <c r="E467" s="979"/>
      <c r="F467" s="979"/>
    </row>
    <row r="468" spans="1:6" ht="12.75">
      <c r="D468" s="44"/>
    </row>
    <row r="469" spans="1:6" ht="14.45" customHeight="1">
      <c r="A469" s="271"/>
      <c r="B469" s="622" t="s">
        <v>132</v>
      </c>
      <c r="C469" s="207"/>
      <c r="D469" s="979" t="s">
        <v>1647</v>
      </c>
      <c r="E469" s="979"/>
      <c r="F469" s="979"/>
    </row>
    <row r="470" spans="1:6" ht="12.75">
      <c r="D470" s="979"/>
      <c r="E470" s="979"/>
      <c r="F470" s="979"/>
    </row>
    <row r="471" spans="1:6" ht="12.75">
      <c r="D471" s="979"/>
      <c r="E471" s="979"/>
      <c r="F471" s="979"/>
    </row>
    <row r="472" spans="1:6" ht="12.75">
      <c r="D472" s="24"/>
      <c r="E472" s="24"/>
      <c r="F472" s="24"/>
    </row>
    <row r="473" spans="1:6" ht="14.25">
      <c r="B473" s="622" t="s">
        <v>132</v>
      </c>
      <c r="C473" s="271"/>
      <c r="D473" s="972" t="s">
        <v>1794</v>
      </c>
      <c r="E473" s="979"/>
      <c r="F473" s="979"/>
    </row>
    <row r="474" spans="1:6" ht="12.75">
      <c r="D474" s="979"/>
      <c r="E474" s="979"/>
      <c r="F474" s="979"/>
    </row>
    <row r="475" spans="1:6" ht="12.75">
      <c r="D475" s="44"/>
      <c r="E475" s="44"/>
    </row>
    <row r="476" spans="1:6" ht="14.25">
      <c r="B476" s="622" t="s">
        <v>132</v>
      </c>
      <c r="C476" s="271"/>
      <c r="D476" s="979" t="s">
        <v>1648</v>
      </c>
      <c r="E476" s="979"/>
      <c r="F476" s="979"/>
    </row>
    <row r="477" spans="1:6" ht="12.75">
      <c r="D477" s="979"/>
      <c r="E477" s="979"/>
      <c r="F477" s="979"/>
    </row>
    <row r="478" spans="1:6" ht="12.75">
      <c r="D478" s="979"/>
      <c r="E478" s="979"/>
      <c r="F478" s="979"/>
    </row>
    <row r="479" spans="1:6" ht="12.75">
      <c r="D479" s="979"/>
      <c r="E479" s="979"/>
      <c r="F479" s="979"/>
    </row>
    <row r="480" spans="1:6" ht="12.75">
      <c r="B480" s="622" t="s">
        <v>132</v>
      </c>
      <c r="D480" s="979"/>
      <c r="E480" s="979"/>
      <c r="F480" s="979"/>
    </row>
    <row r="481" spans="2:6" ht="12.75">
      <c r="D481" s="979"/>
      <c r="E481" s="979"/>
      <c r="F481" s="979"/>
    </row>
    <row r="482" spans="2:6" ht="12.75">
      <c r="D482" s="979"/>
      <c r="E482" s="979"/>
      <c r="F482" s="979"/>
    </row>
    <row r="483" spans="2:6" ht="12.75">
      <c r="B483" s="622" t="s">
        <v>132</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2" t="s">
        <v>132</v>
      </c>
      <c r="D487" s="979"/>
      <c r="E487" s="979"/>
      <c r="F487" s="979"/>
    </row>
    <row r="488" spans="2:6" ht="12.75">
      <c r="D488" s="979"/>
      <c r="E488" s="979"/>
      <c r="F488" s="979"/>
    </row>
    <row r="489" spans="2:6" ht="12.75">
      <c r="B489" s="622" t="s">
        <v>132</v>
      </c>
      <c r="D489" s="979"/>
      <c r="E489" s="979"/>
      <c r="F489" s="979"/>
    </row>
    <row r="490" spans="2:6" ht="12.75">
      <c r="D490" s="979"/>
      <c r="E490" s="979"/>
      <c r="F490" s="979"/>
    </row>
    <row r="491" spans="2:6" ht="13.7" customHeight="1">
      <c r="B491" s="622" t="s">
        <v>132</v>
      </c>
      <c r="D491" s="979" t="s">
        <v>1649</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2" t="s">
        <v>132</v>
      </c>
      <c r="D497" s="999" t="s">
        <v>1482</v>
      </c>
      <c r="E497" s="999"/>
      <c r="F497" s="999"/>
    </row>
    <row r="498" spans="1:7" ht="12.75">
      <c r="A498" s="44"/>
      <c r="B498" s="44"/>
    </row>
    <row r="499" spans="1:7" ht="12.75">
      <c r="A499" s="1033" t="s">
        <v>1441</v>
      </c>
      <c r="B499" s="1033"/>
      <c r="C499" s="1033"/>
      <c r="D499" s="1033"/>
      <c r="E499" s="1033"/>
      <c r="F499" s="1033"/>
      <c r="G499" s="1033"/>
    </row>
    <row r="500" spans="1:7" ht="12.75">
      <c r="A500" s="44"/>
      <c r="B500" s="44"/>
    </row>
    <row r="501" spans="1:7" ht="12.75">
      <c r="D501" s="1050" t="s">
        <v>1164</v>
      </c>
      <c r="E501" s="1050"/>
      <c r="F501" s="1050"/>
    </row>
    <row r="502" spans="1:7" ht="12.75">
      <c r="D502" s="1016" t="s">
        <v>1475</v>
      </c>
      <c r="E502" s="1016"/>
      <c r="F502" s="1016"/>
    </row>
    <row r="503" spans="1:7" ht="14.25">
      <c r="A503" s="271"/>
      <c r="B503" s="271"/>
      <c r="D503" s="429"/>
    </row>
    <row r="504" spans="1:7" ht="14.25">
      <c r="A504" s="271"/>
      <c r="B504" s="622" t="s">
        <v>1439</v>
      </c>
      <c r="D504" s="1036" t="s">
        <v>1650</v>
      </c>
      <c r="E504" s="1036"/>
      <c r="F504" s="1036"/>
    </row>
    <row r="505" spans="1:7" ht="14.25">
      <c r="A505" s="271"/>
      <c r="B505" s="271"/>
      <c r="D505" s="1036"/>
      <c r="E505" s="1036"/>
      <c r="F505" s="1036"/>
    </row>
    <row r="506" spans="1:7" ht="14.25">
      <c r="A506" s="271"/>
      <c r="B506" s="271"/>
      <c r="D506" s="44"/>
    </row>
    <row r="507" spans="1:7" ht="14.25">
      <c r="A507" s="271"/>
      <c r="B507" s="622" t="s">
        <v>1439</v>
      </c>
      <c r="D507" s="1051" t="s">
        <v>1966</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2" t="s">
        <v>1439</v>
      </c>
      <c r="D512" s="999" t="s">
        <v>1652</v>
      </c>
      <c r="E512" s="999"/>
      <c r="F512" s="999"/>
      <c r="G512"/>
    </row>
    <row r="513" spans="1:7" ht="12.75">
      <c r="D513" s="44"/>
      <c r="G513"/>
    </row>
    <row r="514" spans="1:7" ht="14.25">
      <c r="A514" s="271"/>
      <c r="B514" s="622" t="s">
        <v>1439</v>
      </c>
      <c r="D514" s="979" t="s">
        <v>1653</v>
      </c>
      <c r="E514" s="979"/>
      <c r="F514" s="979"/>
      <c r="G514"/>
    </row>
    <row r="515" spans="1:7" ht="12.75">
      <c r="D515" s="979"/>
      <c r="E515" s="979"/>
      <c r="F515" s="979"/>
      <c r="G515"/>
    </row>
    <row r="516" spans="1:7" ht="12.75">
      <c r="D516" s="429"/>
      <c r="G516"/>
    </row>
    <row r="517" spans="1:7" ht="14.25">
      <c r="A517" s="271"/>
      <c r="B517" s="622" t="s">
        <v>132</v>
      </c>
      <c r="D517" s="999" t="s">
        <v>1651</v>
      </c>
      <c r="E517" s="999"/>
      <c r="F517" s="999"/>
    </row>
    <row r="518" spans="1:7" ht="14.25">
      <c r="A518" s="271"/>
      <c r="B518" s="271"/>
      <c r="D518" s="44"/>
    </row>
    <row r="519" spans="1:7" ht="12.75">
      <c r="A519" s="1033" t="s">
        <v>1442</v>
      </c>
      <c r="B519" s="1033"/>
      <c r="C519" s="1033"/>
      <c r="D519" s="1033"/>
      <c r="E519" s="1033"/>
      <c r="F519" s="1033"/>
      <c r="G519" s="1033"/>
    </row>
    <row r="520" spans="1:7" ht="12" customHeight="1">
      <c r="A520" s="271"/>
      <c r="B520" s="271"/>
      <c r="D520" s="44"/>
    </row>
    <row r="521" spans="1:7" ht="12.75">
      <c r="B521" s="622" t="s">
        <v>1439</v>
      </c>
      <c r="C521" s="190"/>
      <c r="D521" s="1007" t="s">
        <v>1594</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2" t="s">
        <v>132</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2" t="s">
        <v>1439</v>
      </c>
      <c r="C529" s="191"/>
      <c r="D529" s="947" t="s">
        <v>2181</v>
      </c>
      <c r="E529" s="948"/>
      <c r="G529"/>
    </row>
    <row r="530" spans="1:7" ht="12.75">
      <c r="A530" s="191"/>
      <c r="B530" s="191"/>
      <c r="C530" s="191"/>
      <c r="D530" s="948"/>
      <c r="E530" s="104" t="s">
        <v>2182</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1454</v>
      </c>
      <c r="B535" s="1033"/>
      <c r="C535" s="1033"/>
      <c r="D535" s="1033"/>
      <c r="E535" s="1033"/>
      <c r="F535" s="1033"/>
      <c r="G535" s="1033"/>
    </row>
    <row r="536" spans="1:7" ht="12" customHeight="1">
      <c r="A536" s="44"/>
      <c r="B536" s="44"/>
      <c r="C536" s="207"/>
      <c r="E536" s="44"/>
    </row>
    <row r="537" spans="1:7" ht="12.75">
      <c r="C537" s="207"/>
      <c r="D537" s="1000" t="s">
        <v>1483</v>
      </c>
      <c r="E537" s="1000"/>
      <c r="F537" s="1000"/>
    </row>
    <row r="538" spans="1:7" ht="12.75"/>
    <row r="539" spans="1:7" ht="12.75">
      <c r="B539" s="622" t="s">
        <v>132</v>
      </c>
      <c r="D539" s="979" t="s">
        <v>1622</v>
      </c>
      <c r="E539" s="979"/>
      <c r="F539" s="979"/>
    </row>
    <row r="540" spans="1:7" ht="12.75">
      <c r="D540" s="979"/>
      <c r="E540" s="979"/>
      <c r="F540" s="979"/>
    </row>
    <row r="541" spans="1:7" ht="12" customHeight="1">
      <c r="A541" s="207"/>
      <c r="B541" s="207"/>
      <c r="C541" s="207"/>
      <c r="D541" s="44"/>
    </row>
    <row r="542" spans="1:7" ht="14.25">
      <c r="A542" s="271"/>
      <c r="B542" s="622" t="s">
        <v>132</v>
      </c>
      <c r="C542" s="207"/>
      <c r="D542" s="979" t="s">
        <v>1623</v>
      </c>
      <c r="E542" s="979"/>
      <c r="F542" s="979"/>
    </row>
    <row r="543" spans="1:7" ht="12.75">
      <c r="A543" s="207"/>
      <c r="B543" s="207"/>
      <c r="C543" s="207"/>
      <c r="D543" s="979"/>
      <c r="E543" s="979"/>
      <c r="F543" s="979"/>
    </row>
    <row r="544" spans="1:7" ht="12" customHeight="1">
      <c r="A544" s="207"/>
      <c r="B544" s="207"/>
      <c r="C544" s="207"/>
      <c r="D544" s="44"/>
    </row>
    <row r="545" spans="1:7" ht="12.75">
      <c r="A545" s="1011" t="s">
        <v>1492</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1603</v>
      </c>
      <c r="E548" s="999"/>
      <c r="F548" s="999"/>
    </row>
    <row r="549" spans="1:7" ht="12.75">
      <c r="C549" s="207"/>
      <c r="D549" s="44"/>
      <c r="E549" s="44"/>
      <c r="F549" s="44"/>
    </row>
    <row r="550" spans="1:7" ht="14.25">
      <c r="A550" s="271"/>
      <c r="B550" s="622" t="s">
        <v>1439</v>
      </c>
      <c r="C550" s="207"/>
      <c r="D550" s="999" t="s">
        <v>1159</v>
      </c>
      <c r="E550" s="999"/>
      <c r="F550" s="999"/>
    </row>
    <row r="551" spans="1:7" ht="12" customHeight="1">
      <c r="A551" s="207"/>
      <c r="B551" s="207"/>
      <c r="C551" s="207"/>
      <c r="D551" s="44"/>
      <c r="E551"/>
      <c r="F551"/>
      <c r="G551"/>
    </row>
    <row r="552" spans="1:7" ht="14.45" customHeight="1">
      <c r="A552" s="271"/>
      <c r="B552" s="622" t="s">
        <v>1439</v>
      </c>
      <c r="C552" s="207"/>
      <c r="D552" s="979" t="s">
        <v>1602</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2" t="s">
        <v>1439</v>
      </c>
      <c r="C555" s="207"/>
      <c r="D555" s="979" t="s">
        <v>1604</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2" t="s">
        <v>1439</v>
      </c>
      <c r="C558" s="207"/>
      <c r="D558" s="979" t="s">
        <v>1605</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2" t="s">
        <v>1439</v>
      </c>
      <c r="C561" s="207"/>
      <c r="D561" s="979" t="s">
        <v>1606</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2" t="s">
        <v>1439</v>
      </c>
      <c r="C565" s="207"/>
      <c r="D565" s="972" t="s">
        <v>1704</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2" t="s">
        <v>1439</v>
      </c>
      <c r="C568" s="207"/>
      <c r="D568" s="979" t="s">
        <v>1607</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2" t="s">
        <v>1439</v>
      </c>
      <c r="C571" s="207"/>
      <c r="D571" s="999" t="s">
        <v>1608</v>
      </c>
      <c r="E571" s="999"/>
      <c r="F571" s="999"/>
      <c r="G571"/>
    </row>
    <row r="572" spans="1:7" ht="14.25">
      <c r="A572" s="271"/>
      <c r="B572" s="271"/>
      <c r="C572" s="207"/>
      <c r="D572" s="1040" t="s">
        <v>2183</v>
      </c>
      <c r="E572" s="1040"/>
      <c r="F572" s="1040"/>
      <c r="G572"/>
    </row>
    <row r="573" spans="1:7" ht="12.75">
      <c r="A573" s="18"/>
      <c r="B573" s="18"/>
      <c r="C573" s="207"/>
      <c r="D573" s="949"/>
      <c r="E573" s="104" t="s">
        <v>2184</v>
      </c>
      <c r="F573" s="950"/>
      <c r="G573"/>
    </row>
    <row r="574" spans="1:7" ht="15" customHeight="1">
      <c r="A574" s="18"/>
      <c r="B574" s="18"/>
      <c r="C574" s="207"/>
      <c r="D574" s="972" t="s">
        <v>1828</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2" t="s">
        <v>1439</v>
      </c>
      <c r="C584" s="207"/>
      <c r="D584" s="999" t="s">
        <v>1609</v>
      </c>
      <c r="E584" s="999"/>
      <c r="F584" s="999"/>
      <c r="G584"/>
    </row>
    <row r="585" spans="1:7" ht="13.7" customHeight="1">
      <c r="C585" s="207"/>
      <c r="D585" s="979" t="s">
        <v>1610</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2" t="s">
        <v>1439</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2" t="s">
        <v>132</v>
      </c>
      <c r="C594" s="191"/>
      <c r="D594" s="1032" t="s">
        <v>1892</v>
      </c>
      <c r="E594" s="1009"/>
      <c r="F594" s="1009"/>
    </row>
    <row r="595" spans="1:7" ht="12.75">
      <c r="A595" s="191"/>
      <c r="B595" s="191"/>
      <c r="C595" s="191"/>
    </row>
    <row r="596" spans="1:7" ht="12.75">
      <c r="A596" s="207"/>
      <c r="B596" s="207"/>
      <c r="C596" s="207"/>
      <c r="D596" s="24"/>
      <c r="E596" s="24"/>
      <c r="F596" s="24"/>
    </row>
    <row r="597" spans="1:7" ht="12.75">
      <c r="A597" s="1033" t="s">
        <v>1456</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1508</v>
      </c>
      <c r="E600" s="1002"/>
      <c r="F600" s="1002"/>
    </row>
    <row r="601" spans="1:7" ht="12.75">
      <c r="C601" s="190"/>
      <c r="D601" s="375"/>
    </row>
    <row r="602" spans="1:7" ht="14.25">
      <c r="A602" s="271"/>
      <c r="B602" s="622" t="s">
        <v>1439</v>
      </c>
      <c r="D602" s="1002" t="s">
        <v>1160</v>
      </c>
      <c r="E602" s="1002"/>
      <c r="F602" s="1002"/>
    </row>
    <row r="603" spans="1:7" ht="12.75">
      <c r="A603" s="18"/>
      <c r="B603" s="18"/>
      <c r="D603" s="365"/>
    </row>
    <row r="604" spans="1:7" ht="14.45" customHeight="1">
      <c r="A604" s="271"/>
      <c r="B604" s="622" t="s">
        <v>132</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6"/>
      <c r="E607" s="626"/>
      <c r="F607" s="626"/>
    </row>
    <row r="608" spans="1:7" ht="14.25">
      <c r="A608" s="271"/>
      <c r="B608" s="622" t="s">
        <v>132</v>
      </c>
      <c r="D608" s="1002" t="s">
        <v>1509</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2" t="s">
        <v>1439</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2" t="s">
        <v>132</v>
      </c>
      <c r="D616" s="1002" t="s">
        <v>1513</v>
      </c>
      <c r="E616" s="1002"/>
      <c r="F616" s="1002"/>
    </row>
    <row r="617" spans="1:7" ht="14.25">
      <c r="A617" s="271"/>
      <c r="B617" s="271"/>
      <c r="D617" s="1002"/>
      <c r="E617" s="1002"/>
      <c r="F617" s="1002"/>
    </row>
    <row r="618" spans="1:7" ht="14.25">
      <c r="A618" s="271"/>
      <c r="B618" s="271"/>
      <c r="D618" s="375"/>
    </row>
    <row r="619" spans="1:7" ht="14.25">
      <c r="A619" s="271"/>
      <c r="B619" s="622" t="s">
        <v>1439</v>
      </c>
      <c r="D619" s="1002" t="s">
        <v>1161</v>
      </c>
      <c r="E619" s="1002"/>
      <c r="F619" s="1002"/>
    </row>
    <row r="620" spans="1:7" ht="12.75">
      <c r="A620" s="18"/>
      <c r="B620" s="18"/>
    </row>
    <row r="621" spans="1:7" ht="12.75">
      <c r="A621" s="1033" t="s">
        <v>1458</v>
      </c>
      <c r="B621" s="1033"/>
      <c r="C621" s="1033"/>
      <c r="D621" s="1033"/>
      <c r="E621" s="1033"/>
      <c r="F621" s="1033"/>
      <c r="G621" s="1033"/>
    </row>
    <row r="622" spans="1:7" ht="12.75">
      <c r="A622" s="63"/>
      <c r="B622" s="63"/>
    </row>
    <row r="623" spans="1:7" ht="12.75">
      <c r="C623" s="191"/>
      <c r="D623" s="1029" t="s">
        <v>1457</v>
      </c>
      <c r="E623" s="1029"/>
      <c r="F623" s="1029"/>
    </row>
    <row r="624" spans="1:7" ht="12.75">
      <c r="C624" s="191"/>
      <c r="D624" s="1009" t="s">
        <v>1484</v>
      </c>
      <c r="E624" s="1009"/>
      <c r="F624" s="1009"/>
    </row>
    <row r="625" spans="1:7" ht="12.75">
      <c r="C625" s="191"/>
      <c r="D625" s="102"/>
      <c r="E625" s="102"/>
      <c r="F625" s="102"/>
    </row>
    <row r="626" spans="1:7" ht="14.25" customHeight="1">
      <c r="A626" s="271"/>
      <c r="B626" s="622" t="s">
        <v>1439</v>
      </c>
      <c r="D626" s="1052" t="s">
        <v>2186</v>
      </c>
      <c r="E626" s="1053"/>
      <c r="F626" s="1053"/>
    </row>
    <row r="627" spans="1:7" ht="12.75">
      <c r="D627" s="1053"/>
      <c r="E627" s="1053"/>
      <c r="F627" s="1053"/>
    </row>
    <row r="628" spans="1:7" ht="12.75">
      <c r="D628" s="951"/>
      <c r="E628" s="945" t="s">
        <v>2185</v>
      </c>
      <c r="F628" s="951"/>
    </row>
    <row r="629" spans="1:7" ht="12.75">
      <c r="A629" s="63"/>
      <c r="B629" s="63"/>
    </row>
    <row r="630" spans="1:7" ht="12" customHeight="1">
      <c r="A630" s="1033" t="s">
        <v>1460</v>
      </c>
      <c r="B630" s="1033"/>
      <c r="C630" s="1033"/>
      <c r="D630" s="1033"/>
      <c r="E630" s="1033"/>
      <c r="F630" s="1033"/>
      <c r="G630" s="1033"/>
    </row>
    <row r="631" spans="1:7" ht="12.75">
      <c r="A631" s="44"/>
      <c r="B631" s="44"/>
    </row>
    <row r="632" spans="1:7" ht="12.75">
      <c r="C632" s="190"/>
      <c r="D632" s="1000" t="s">
        <v>1459</v>
      </c>
      <c r="E632" s="1000"/>
      <c r="F632" s="1000"/>
    </row>
    <row r="633" spans="1:7" ht="12.75">
      <c r="A633" s="191"/>
      <c r="B633" s="191"/>
      <c r="C633" s="191"/>
      <c r="D633" s="999" t="s">
        <v>1624</v>
      </c>
      <c r="E633" s="999"/>
      <c r="F633" s="999"/>
    </row>
    <row r="634" spans="1:7" ht="12.75">
      <c r="A634" s="191"/>
      <c r="B634" s="191"/>
      <c r="C634" s="191"/>
    </row>
    <row r="635" spans="1:7" ht="14.25">
      <c r="A635" s="271"/>
      <c r="B635" s="271"/>
      <c r="D635" s="1029" t="s">
        <v>910</v>
      </c>
      <c r="E635" s="1029"/>
      <c r="F635" s="1029"/>
    </row>
    <row r="636" spans="1:7" ht="14.25">
      <c r="A636" s="271"/>
      <c r="B636" s="622" t="s">
        <v>1439</v>
      </c>
      <c r="D636" s="1009" t="s">
        <v>1625</v>
      </c>
      <c r="E636" s="1009"/>
      <c r="F636" s="1009"/>
    </row>
    <row r="637" spans="1:7" ht="14.25">
      <c r="A637" s="271"/>
      <c r="B637" s="271"/>
      <c r="D637" s="44"/>
    </row>
    <row r="638" spans="1:7" ht="14.25">
      <c r="A638" s="271"/>
      <c r="B638" s="622" t="s">
        <v>132</v>
      </c>
      <c r="D638" s="979" t="s">
        <v>1626</v>
      </c>
      <c r="E638" s="979"/>
      <c r="F638" s="979"/>
    </row>
    <row r="639" spans="1:7" ht="14.25">
      <c r="A639" s="271"/>
      <c r="B639" s="271"/>
      <c r="D639" s="979"/>
      <c r="E639" s="979"/>
      <c r="F639" s="979"/>
    </row>
    <row r="640" spans="1:7" ht="14.25">
      <c r="A640" s="271"/>
      <c r="B640" s="271"/>
      <c r="D640" s="44"/>
    </row>
    <row r="641" spans="1:7" ht="14.25">
      <c r="A641" s="271"/>
      <c r="B641" s="622" t="s">
        <v>1439</v>
      </c>
      <c r="D641" s="972" t="s">
        <v>2016</v>
      </c>
      <c r="E641" s="972"/>
      <c r="F641" s="972"/>
    </row>
    <row r="642" spans="1:7" ht="13.7" customHeight="1">
      <c r="D642" s="972"/>
      <c r="E642" s="972"/>
      <c r="F642" s="972"/>
    </row>
    <row r="643" spans="1:7" ht="12.75"/>
    <row r="644" spans="1:7" ht="14.25">
      <c r="A644" s="271"/>
      <c r="B644" s="622" t="s">
        <v>1439</v>
      </c>
      <c r="D644" s="1009" t="s">
        <v>1627</v>
      </c>
      <c r="E644" s="1009"/>
      <c r="F644" s="1009"/>
    </row>
    <row r="645" spans="1:7" ht="12.75">
      <c r="A645" s="190"/>
      <c r="B645" s="190"/>
      <c r="C645" s="190"/>
    </row>
    <row r="646" spans="1:7" ht="12.75">
      <c r="A646" s="1033" t="s">
        <v>1461</v>
      </c>
      <c r="B646" s="1033"/>
      <c r="C646" s="1033"/>
      <c r="D646" s="1033"/>
      <c r="E646" s="1033"/>
      <c r="F646" s="1033"/>
      <c r="G646" s="1033"/>
    </row>
    <row r="647" spans="1:7" ht="12.75">
      <c r="A647" s="190"/>
      <c r="B647" s="190"/>
      <c r="C647" s="190"/>
    </row>
    <row r="648" spans="1:7" ht="12.75">
      <c r="C648" s="18"/>
      <c r="D648" s="1017" t="s">
        <v>1485</v>
      </c>
      <c r="E648" s="1017"/>
      <c r="F648" s="1017"/>
    </row>
    <row r="649" spans="1:7" ht="12.75">
      <c r="A649" s="18"/>
      <c r="B649" s="18"/>
      <c r="D649" s="3"/>
    </row>
    <row r="650" spans="1:7" ht="14.25" customHeight="1">
      <c r="A650" s="271"/>
      <c r="B650" s="622" t="s">
        <v>1439</v>
      </c>
      <c r="D650" s="1052" t="s">
        <v>2276</v>
      </c>
      <c r="E650" s="1052"/>
      <c r="F650" s="1052"/>
    </row>
    <row r="651" spans="1:7" ht="14.25">
      <c r="A651" s="271"/>
      <c r="B651" s="271"/>
      <c r="D651" s="1052"/>
      <c r="E651" s="1052"/>
      <c r="F651" s="1052"/>
    </row>
    <row r="652" spans="1:7" ht="12.75">
      <c r="D652" s="951"/>
      <c r="E652" s="945" t="s">
        <v>2188</v>
      </c>
      <c r="F652" s="951"/>
    </row>
    <row r="653" spans="1:7" ht="12.75">
      <c r="D653" s="976" t="s">
        <v>2187</v>
      </c>
      <c r="E653" s="976"/>
      <c r="F653" s="976"/>
    </row>
    <row r="654" spans="1:7" ht="12.75" customHeight="1">
      <c r="D654" s="976"/>
      <c r="E654" s="976"/>
      <c r="F654" s="976"/>
    </row>
    <row r="655" spans="1:7" ht="12.75">
      <c r="B655"/>
      <c r="D655" s="976"/>
      <c r="E655" s="976"/>
      <c r="F655" s="976"/>
    </row>
    <row r="656" spans="1:7" ht="12.75"/>
    <row r="657" spans="1:9" ht="14.25">
      <c r="A657" s="303"/>
      <c r="B657" s="622" t="s">
        <v>132</v>
      </c>
      <c r="D657" s="1018" t="s">
        <v>1628</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2" t="s">
        <v>132</v>
      </c>
      <c r="D660" s="1020" t="s">
        <v>1893</v>
      </c>
      <c r="E660" s="1020"/>
      <c r="F660" s="1020"/>
      <c r="G660" s="44"/>
    </row>
    <row r="661" spans="1:9" ht="14.25">
      <c r="A661" s="303"/>
      <c r="B661" s="303"/>
      <c r="D661" s="1020"/>
      <c r="E661" s="1020"/>
      <c r="F661" s="1020"/>
      <c r="G661" s="44"/>
    </row>
    <row r="662" spans="1:9" ht="14.25">
      <c r="A662" s="271"/>
      <c r="B662" s="271"/>
      <c r="D662" s="639"/>
      <c r="E662" s="639"/>
      <c r="F662" s="639"/>
      <c r="G662" s="44"/>
    </row>
    <row r="663" spans="1:9" ht="14.25">
      <c r="A663" s="271"/>
      <c r="B663" s="622" t="s">
        <v>132</v>
      </c>
      <c r="C663" s="207"/>
      <c r="D663" s="1019" t="s">
        <v>1629</v>
      </c>
      <c r="E663" s="1019"/>
      <c r="F663" s="1019"/>
      <c r="G663" s="44"/>
    </row>
    <row r="664" spans="1:9" ht="12.75">
      <c r="A664" s="44"/>
      <c r="B664" s="44"/>
      <c r="C664" s="207"/>
      <c r="D664" s="44"/>
      <c r="E664" s="44"/>
      <c r="F664" s="44"/>
      <c r="G664" s="44"/>
      <c r="H664" s="267"/>
      <c r="I664" s="267"/>
    </row>
    <row r="665" spans="1:9" ht="12.75">
      <c r="A665" s="1033" t="s">
        <v>1463</v>
      </c>
      <c r="B665" s="1033"/>
      <c r="C665" s="1033"/>
      <c r="D665" s="1033"/>
      <c r="E665" s="1033"/>
      <c r="F665" s="1033"/>
      <c r="G665" s="1033"/>
    </row>
    <row r="666" spans="1:9" ht="12.75">
      <c r="A666" s="44"/>
      <c r="B666" s="44"/>
      <c r="C666" s="207"/>
      <c r="D666" s="44"/>
      <c r="E666" s="44"/>
      <c r="F666" s="44"/>
      <c r="G666" s="44"/>
    </row>
    <row r="667" spans="1:9" ht="12.75">
      <c r="C667" s="190"/>
      <c r="D667" s="1000" t="s">
        <v>1462</v>
      </c>
      <c r="E667" s="1000"/>
      <c r="F667" s="1000"/>
      <c r="G667" s="44"/>
    </row>
    <row r="668" spans="1:9" ht="12.75">
      <c r="A668" s="191"/>
      <c r="B668" s="191"/>
      <c r="C668" s="191"/>
      <c r="D668" s="999" t="s">
        <v>1486</v>
      </c>
      <c r="E668" s="999"/>
      <c r="F668" s="999"/>
      <c r="G668" s="44"/>
    </row>
    <row r="669" spans="1:9" ht="12.75">
      <c r="A669" s="191"/>
      <c r="B669" s="191"/>
      <c r="C669" s="191"/>
      <c r="D669" s="44"/>
      <c r="E669" s="44"/>
      <c r="F669" s="44"/>
      <c r="G669" s="44"/>
    </row>
    <row r="670" spans="1:9" ht="14.45" customHeight="1">
      <c r="A670" s="271"/>
      <c r="B670" s="622" t="s">
        <v>1439</v>
      </c>
      <c r="C670" s="207"/>
      <c r="D670" s="972" t="s">
        <v>1968</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2" t="s">
        <v>84</v>
      </c>
      <c r="C677" s="207"/>
      <c r="D677" s="1003" t="s">
        <v>1506</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1967</v>
      </c>
      <c r="E683" s="1021"/>
      <c r="F683" s="1021"/>
      <c r="G683" s="44"/>
    </row>
    <row r="684" spans="1:7" ht="12.75">
      <c r="A684" s="44"/>
      <c r="B684" s="44"/>
      <c r="C684" s="207"/>
      <c r="D684" s="44"/>
      <c r="E684" s="44"/>
      <c r="F684" s="44"/>
      <c r="G684" s="44"/>
    </row>
    <row r="685" spans="1:7" ht="12.75">
      <c r="A685" s="1033" t="s">
        <v>1464</v>
      </c>
      <c r="B685" s="1033"/>
      <c r="C685" s="1033"/>
      <c r="D685" s="1033"/>
      <c r="E685" s="1033"/>
      <c r="F685" s="1033"/>
      <c r="G685" s="1033"/>
    </row>
    <row r="686" spans="1:7" ht="12.75">
      <c r="A686" s="44"/>
      <c r="B686" s="44"/>
      <c r="C686" s="207"/>
      <c r="D686" s="44"/>
      <c r="E686" s="44"/>
      <c r="F686" s="44"/>
      <c r="G686" s="44"/>
    </row>
    <row r="687" spans="1:7" ht="12.75">
      <c r="C687" s="190"/>
      <c r="D687" s="1000" t="s">
        <v>819</v>
      </c>
      <c r="E687" s="1000"/>
      <c r="F687" s="1000"/>
      <c r="G687" s="44"/>
    </row>
    <row r="688" spans="1:7" ht="12.75">
      <c r="A688" s="190"/>
      <c r="B688" s="190"/>
      <c r="C688" s="190"/>
      <c r="D688" s="1000" t="s">
        <v>911</v>
      </c>
      <c r="E688" s="1000"/>
      <c r="F688" s="1000"/>
      <c r="G688" s="44"/>
    </row>
    <row r="689" spans="1:6" ht="12.75">
      <c r="A689" s="191"/>
      <c r="B689" s="191"/>
      <c r="C689" s="191"/>
      <c r="D689" s="999" t="s">
        <v>1593</v>
      </c>
      <c r="E689" s="999"/>
      <c r="F689" s="999"/>
    </row>
    <row r="690" spans="1:6" ht="14.25" customHeight="1">
      <c r="A690" s="191"/>
      <c r="B690" s="191"/>
      <c r="C690" s="191"/>
    </row>
    <row r="691" spans="1:6" ht="14.25">
      <c r="A691" s="271"/>
      <c r="B691" s="622" t="s">
        <v>132</v>
      </c>
      <c r="C691" s="191"/>
      <c r="D691" s="999" t="s">
        <v>1162</v>
      </c>
      <c r="E691" s="999"/>
      <c r="F691" s="999"/>
    </row>
    <row r="692" spans="1:6" ht="12.75">
      <c r="A692" s="191"/>
      <c r="B692" s="191"/>
      <c r="C692" s="191"/>
      <c r="D692" s="999" t="s">
        <v>1180</v>
      </c>
      <c r="E692" s="999"/>
      <c r="F692" s="999"/>
    </row>
    <row r="693" spans="1:6" ht="12.75" customHeight="1">
      <c r="A693" s="191"/>
      <c r="B693" s="191"/>
      <c r="C693" s="191"/>
      <c r="E693" s="945" t="s">
        <v>2190</v>
      </c>
      <c r="F693" s="15"/>
    </row>
    <row r="694" spans="1:6" ht="12.75">
      <c r="A694" s="191"/>
      <c r="B694" s="191"/>
      <c r="C694" s="191"/>
      <c r="E694" s="944" t="s">
        <v>2189</v>
      </c>
      <c r="F694" s="15"/>
    </row>
    <row r="695" spans="1:6" ht="12.75">
      <c r="A695" s="191"/>
      <c r="B695" s="191"/>
      <c r="C695" s="191"/>
      <c r="D695" s="212"/>
      <c r="E695" s="212"/>
      <c r="F695" s="212"/>
    </row>
    <row r="696" spans="1:6" ht="14.25">
      <c r="A696" s="271"/>
      <c r="B696" s="622" t="s">
        <v>132</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2" t="s">
        <v>1439</v>
      </c>
      <c r="C700" s="191"/>
      <c r="D700" s="999" t="s">
        <v>1221</v>
      </c>
      <c r="E700" s="999"/>
      <c r="F700" s="999"/>
    </row>
    <row r="701" spans="1:6" ht="14.25">
      <c r="A701" s="271"/>
      <c r="B701" s="271"/>
      <c r="C701" s="191"/>
      <c r="D701" s="999" t="s">
        <v>1180</v>
      </c>
      <c r="E701" s="999"/>
      <c r="F701" s="999"/>
    </row>
    <row r="702" spans="1:6" ht="12.75">
      <c r="A702" s="191"/>
      <c r="B702" s="191"/>
      <c r="C702" s="191"/>
      <c r="E702" s="1024" t="s">
        <v>2191</v>
      </c>
      <c r="F702" s="1024"/>
    </row>
    <row r="703" spans="1:6" ht="12.75">
      <c r="A703" s="191"/>
      <c r="B703" s="191"/>
      <c r="C703" s="191"/>
      <c r="D703" s="3"/>
    </row>
    <row r="704" spans="1:6" ht="14.25">
      <c r="A704" s="271"/>
      <c r="B704" s="622" t="s">
        <v>1455</v>
      </c>
      <c r="C704" s="191"/>
      <c r="D704" s="979" t="s">
        <v>1595</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2" t="s">
        <v>1455</v>
      </c>
      <c r="C711" s="191"/>
      <c r="D711" s="972" t="s">
        <v>1808</v>
      </c>
      <c r="E711" s="979"/>
      <c r="F711" s="979"/>
    </row>
    <row r="712" spans="1:6" ht="12.75">
      <c r="A712" s="191"/>
      <c r="B712" s="191"/>
      <c r="C712" s="191"/>
      <c r="D712" s="979"/>
      <c r="E712" s="979"/>
      <c r="F712" s="979"/>
    </row>
    <row r="713" spans="1:6" ht="12.75">
      <c r="A713" s="191"/>
      <c r="B713" s="191"/>
      <c r="C713" s="191"/>
    </row>
    <row r="714" spans="1:6" ht="14.45" customHeight="1">
      <c r="A714" s="271"/>
      <c r="B714" s="622" t="s">
        <v>1455</v>
      </c>
      <c r="C714" s="191"/>
      <c r="D714" s="979" t="s">
        <v>1596</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2" t="s">
        <v>132</v>
      </c>
      <c r="C727" s="191"/>
      <c r="D727" s="979" t="s">
        <v>1600</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2" t="s">
        <v>132</v>
      </c>
      <c r="C730" s="191"/>
      <c r="D730" s="979" t="s">
        <v>1601</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2" t="s">
        <v>132</v>
      </c>
      <c r="C734" s="191"/>
      <c r="D734" s="972" t="s">
        <v>2017</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2" t="s">
        <v>132</v>
      </c>
      <c r="C738" s="191"/>
      <c r="D738" s="979" t="s">
        <v>1597</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2" t="s">
        <v>132</v>
      </c>
      <c r="C742" s="191"/>
      <c r="D742" s="979" t="s">
        <v>1599</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2" t="s">
        <v>132</v>
      </c>
      <c r="C747" s="191"/>
      <c r="D747" s="979" t="s">
        <v>2279</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1598</v>
      </c>
      <c r="E754" s="1023"/>
      <c r="F754" s="1023"/>
      <c r="H754" s="267"/>
      <c r="I754" s="267"/>
    </row>
    <row r="755" spans="1:9" ht="12.75">
      <c r="A755" s="191"/>
      <c r="B755" s="191"/>
      <c r="C755" s="191"/>
      <c r="D755" s="573"/>
      <c r="H755" s="267"/>
      <c r="I755" s="267"/>
    </row>
    <row r="756" spans="1:9" ht="12.75">
      <c r="A756" s="1011" t="s">
        <v>1493</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1514</v>
      </c>
      <c r="E758" s="1006"/>
      <c r="F758" s="1006"/>
      <c r="H758" s="267"/>
      <c r="I758" s="267"/>
    </row>
    <row r="759" spans="1:9" ht="12.75">
      <c r="A759" s="190"/>
      <c r="B759" s="190"/>
      <c r="C759" s="190"/>
      <c r="D759" s="1009" t="s">
        <v>1517</v>
      </c>
      <c r="E759" s="1009"/>
      <c r="F759" s="1009"/>
      <c r="H759" s="267"/>
      <c r="I759" s="267"/>
    </row>
    <row r="760" spans="1:9" ht="12.75">
      <c r="A760" s="191"/>
      <c r="B760" s="191"/>
      <c r="C760" s="191"/>
      <c r="H760" s="267"/>
      <c r="I760" s="267"/>
    </row>
    <row r="761" spans="1:9" ht="14.25" customHeight="1">
      <c r="A761" s="271"/>
      <c r="B761" s="622" t="s">
        <v>1439</v>
      </c>
      <c r="D761" s="979" t="s">
        <v>1515</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2" t="s">
        <v>1439</v>
      </c>
      <c r="D768" s="1020" t="s">
        <v>1954</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2" t="s">
        <v>1439</v>
      </c>
      <c r="C773" s="443"/>
      <c r="D773" s="1022" t="s">
        <v>1955</v>
      </c>
      <c r="E773" s="997"/>
      <c r="F773" s="997"/>
      <c r="G773" s="376"/>
      <c r="H773" s="267"/>
      <c r="I773" s="267"/>
    </row>
    <row r="774" spans="1:9" ht="12.75">
      <c r="A774" s="443"/>
      <c r="B774" s="443"/>
      <c r="C774" s="443"/>
      <c r="D774" s="997"/>
      <c r="E774" s="997"/>
      <c r="F774" s="997"/>
      <c r="G774" s="376"/>
      <c r="H774" s="267"/>
      <c r="I774" s="267"/>
    </row>
    <row r="775" spans="1:9" ht="12.75">
      <c r="A775" s="443"/>
      <c r="B775" s="443"/>
      <c r="C775" s="443"/>
      <c r="D775" s="997"/>
      <c r="E775" s="997"/>
      <c r="F775" s="997"/>
      <c r="G775" s="376"/>
      <c r="H775" s="267"/>
      <c r="I775" s="267"/>
    </row>
    <row r="776" spans="1:9" ht="12.75">
      <c r="D776" s="44"/>
      <c r="E776" s="44"/>
      <c r="F776" s="44"/>
      <c r="H776" s="267"/>
      <c r="I776" s="267"/>
    </row>
    <row r="777" spans="1:9" ht="12.75">
      <c r="B777" s="622" t="s">
        <v>1439</v>
      </c>
      <c r="D777" s="979" t="s">
        <v>1516</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2" t="s">
        <v>132</v>
      </c>
      <c r="D780" s="972" t="s">
        <v>1831</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1663</v>
      </c>
      <c r="B784" s="1011"/>
      <c r="C784" s="1011"/>
      <c r="D784" s="1011"/>
      <c r="E784" s="1011"/>
      <c r="F784" s="1011"/>
      <c r="G784" s="1011"/>
      <c r="H784" s="267"/>
      <c r="I784" s="267"/>
    </row>
    <row r="785" spans="1:9" ht="12.75">
      <c r="A785" s="63"/>
      <c r="B785" s="63"/>
      <c r="H785" s="267"/>
      <c r="I785" s="267"/>
    </row>
    <row r="786" spans="1:9" ht="13.7" customHeight="1">
      <c r="A786" s="63"/>
      <c r="B786" s="63"/>
      <c r="D786" s="1015" t="s">
        <v>1664</v>
      </c>
      <c r="E786" s="1015"/>
      <c r="F786" s="1015"/>
      <c r="H786" s="267"/>
      <c r="I786" s="267"/>
    </row>
    <row r="787" spans="1:9" ht="12.75">
      <c r="A787" s="63"/>
      <c r="B787" s="63"/>
      <c r="D787" s="1016" t="s">
        <v>1665</v>
      </c>
      <c r="E787" s="1016"/>
      <c r="F787" s="1016"/>
      <c r="H787" s="267"/>
      <c r="I787" s="267"/>
    </row>
    <row r="788" spans="1:9" ht="12.75">
      <c r="A788" s="63"/>
      <c r="B788" s="63"/>
      <c r="D788" s="429"/>
      <c r="E788" s="429"/>
      <c r="F788" s="429"/>
      <c r="H788" s="267"/>
      <c r="I788" s="267"/>
    </row>
    <row r="789" spans="1:9" ht="12.75">
      <c r="A789" s="63"/>
      <c r="B789" s="622" t="s">
        <v>1439</v>
      </c>
      <c r="D789" s="997" t="s">
        <v>1666</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2" t="s">
        <v>132</v>
      </c>
      <c r="C793" s="190"/>
      <c r="D793" s="1022" t="s">
        <v>2347</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2" t="s">
        <v>132</v>
      </c>
      <c r="C797" s="207"/>
      <c r="D797" s="1022" t="s">
        <v>1772</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2" t="s">
        <v>132</v>
      </c>
      <c r="C801" s="207"/>
      <c r="D801" s="997" t="s">
        <v>1667</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2109</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1"/>
      <c r="E809" s="811"/>
      <c r="F809" s="811"/>
      <c r="G809" s="188"/>
      <c r="H809" s="267"/>
      <c r="I809" s="267"/>
    </row>
    <row r="810" spans="1:9" ht="14.25">
      <c r="A810" s="271"/>
      <c r="B810" s="622" t="s">
        <v>1455</v>
      </c>
      <c r="C810" s="207"/>
      <c r="D810" s="997" t="s">
        <v>1669</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7"/>
      <c r="E816" s="667"/>
      <c r="F816" s="667"/>
      <c r="G816" s="188"/>
      <c r="H816" s="267"/>
      <c r="I816" s="267"/>
    </row>
    <row r="817" spans="1:9" ht="14.25">
      <c r="A817" s="271"/>
      <c r="B817" s="622" t="s">
        <v>1455</v>
      </c>
      <c r="C817" s="207"/>
      <c r="D817" s="1022" t="s">
        <v>1956</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7"/>
      <c r="E822" s="667"/>
      <c r="F822" s="667"/>
      <c r="G822" s="188"/>
      <c r="H822" s="267"/>
      <c r="I822" s="267"/>
    </row>
    <row r="823" spans="1:9" ht="14.25">
      <c r="A823" s="271"/>
      <c r="B823" s="622" t="s">
        <v>132</v>
      </c>
      <c r="C823" s="207"/>
      <c r="D823" s="997" t="s">
        <v>1668</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2" t="s">
        <v>132</v>
      </c>
      <c r="C828" s="207"/>
      <c r="D828" s="1005" t="s">
        <v>1671</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6"/>
      <c r="E834" s="666"/>
      <c r="F834" s="666"/>
      <c r="G834" s="188"/>
      <c r="H834" s="267"/>
      <c r="I834" s="267"/>
    </row>
    <row r="835" spans="1:9" ht="14.25">
      <c r="A835" s="271"/>
      <c r="B835" s="622" t="s">
        <v>132</v>
      </c>
      <c r="C835" s="207"/>
      <c r="D835" s="997" t="s">
        <v>1670</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2" t="s">
        <v>132</v>
      </c>
      <c r="C838" s="207"/>
      <c r="D838" s="1005" t="s">
        <v>1672</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1973</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1586</v>
      </c>
      <c r="E843" s="1006"/>
      <c r="F843" s="1006"/>
      <c r="H843" s="267"/>
      <c r="I843" s="267"/>
    </row>
    <row r="844" spans="1:9" ht="14.25">
      <c r="A844" s="271"/>
      <c r="B844" s="271"/>
      <c r="D844" s="972" t="s">
        <v>1970</v>
      </c>
      <c r="E844" s="972"/>
      <c r="F844" s="972"/>
      <c r="H844" s="267"/>
      <c r="I844" s="267"/>
    </row>
    <row r="845" spans="1:9" ht="14.25">
      <c r="A845" s="271"/>
      <c r="B845" s="271"/>
      <c r="D845" s="24"/>
      <c r="E845" s="210"/>
      <c r="F845" s="210"/>
      <c r="H845" s="267"/>
      <c r="I845" s="267"/>
    </row>
    <row r="846" spans="1:9" ht="12.75">
      <c r="B846" s="622" t="s">
        <v>1439</v>
      </c>
      <c r="C846" s="207"/>
      <c r="D846" s="979" t="s">
        <v>1520</v>
      </c>
      <c r="E846" s="979"/>
      <c r="F846" s="979"/>
      <c r="H846" s="267"/>
      <c r="I846" s="267"/>
    </row>
    <row r="847" spans="1:9" ht="12.75">
      <c r="A847" s="18"/>
      <c r="B847" s="18"/>
      <c r="C847" s="207"/>
      <c r="D847" s="3" t="s">
        <v>1497</v>
      </c>
      <c r="E847" s="980" t="s">
        <v>2174</v>
      </c>
      <c r="F847" s="980"/>
      <c r="H847" s="267"/>
      <c r="I847" s="267"/>
    </row>
    <row r="848" spans="1:9" ht="12.75">
      <c r="A848" s="18"/>
      <c r="B848" s="18"/>
      <c r="C848" s="207"/>
      <c r="D848" s="213"/>
      <c r="H848" s="267"/>
      <c r="I848" s="267"/>
    </row>
    <row r="849" spans="1:9" ht="12.75">
      <c r="A849" s="18"/>
      <c r="B849" s="622" t="s">
        <v>132</v>
      </c>
      <c r="C849" s="207"/>
      <c r="D849" s="1025" t="s">
        <v>1752</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2" t="s">
        <v>1439</v>
      </c>
      <c r="C859" s="207"/>
      <c r="D859" s="979" t="s">
        <v>1521</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28"/>
      <c r="B863" s="622" t="s">
        <v>132</v>
      </c>
      <c r="C863" s="207"/>
      <c r="D863" s="1006" t="s">
        <v>1522</v>
      </c>
      <c r="E863" s="1006"/>
      <c r="F863" s="1006"/>
      <c r="H863" s="267"/>
      <c r="I863" s="267"/>
    </row>
    <row r="864" spans="1:9" ht="12.75">
      <c r="B864" s="428"/>
      <c r="C864" s="207"/>
      <c r="D864" s="1006"/>
      <c r="E864" s="1006"/>
      <c r="F864" s="1006"/>
      <c r="H864" s="267"/>
      <c r="I864" s="267"/>
    </row>
    <row r="865" spans="1:9" ht="14.25" customHeight="1">
      <c r="A865" s="271"/>
      <c r="C865" s="207"/>
      <c r="D865" s="979" t="s">
        <v>2280</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2" t="s">
        <v>132</v>
      </c>
      <c r="C872" s="207"/>
      <c r="D872" s="979" t="s">
        <v>1222</v>
      </c>
      <c r="E872" s="979"/>
      <c r="F872" s="979"/>
      <c r="H872" s="267"/>
      <c r="I872" s="267"/>
    </row>
    <row r="873" spans="1:9" ht="14.25">
      <c r="A873" s="271"/>
      <c r="B873" s="271"/>
      <c r="C873" s="207"/>
      <c r="D873" s="979" t="s">
        <v>1223</v>
      </c>
      <c r="E873" s="979"/>
      <c r="F873" s="979"/>
      <c r="H873" s="267"/>
      <c r="I873" s="267"/>
    </row>
    <row r="874" spans="1:9" ht="14.25">
      <c r="A874" s="271"/>
      <c r="B874" s="271"/>
      <c r="C874" s="207"/>
      <c r="D874" s="3" t="s">
        <v>1496</v>
      </c>
      <c r="E874" s="980" t="s">
        <v>2176</v>
      </c>
      <c r="F874" s="980"/>
      <c r="H874" s="267"/>
      <c r="I874" s="267"/>
    </row>
    <row r="875" spans="1:9" ht="14.25">
      <c r="A875" s="271"/>
      <c r="B875" s="271"/>
      <c r="C875" s="207"/>
      <c r="D875" s="44"/>
      <c r="H875" s="267"/>
      <c r="I875" s="267"/>
    </row>
    <row r="876" spans="1:9" ht="14.25">
      <c r="A876" s="271"/>
      <c r="B876" s="622" t="s">
        <v>132</v>
      </c>
      <c r="C876" s="207"/>
      <c r="D876" s="979" t="s">
        <v>1523</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1465</v>
      </c>
      <c r="B881" s="272"/>
      <c r="C881" s="624"/>
      <c r="D881" s="624"/>
      <c r="E881" s="624"/>
      <c r="F881" s="624"/>
      <c r="G881" s="624"/>
      <c r="H881" s="267"/>
      <c r="I881" s="267"/>
    </row>
    <row r="882" spans="1:9" ht="12.75">
      <c r="A882" s="190"/>
      <c r="B882" s="190"/>
      <c r="C882" s="190"/>
      <c r="D882" s="212"/>
      <c r="H882" s="267"/>
      <c r="I882" s="267"/>
    </row>
    <row r="883" spans="1:9" ht="12.75">
      <c r="C883" s="191"/>
      <c r="D883" s="1000" t="s">
        <v>1585</v>
      </c>
      <c r="E883" s="1000"/>
      <c r="F883" s="1000"/>
      <c r="G883" s="188"/>
      <c r="H883" s="267"/>
      <c r="I883" s="267"/>
    </row>
    <row r="884" spans="1:9" ht="12.75">
      <c r="C884" s="191"/>
      <c r="D884" s="1013" t="s">
        <v>1971</v>
      </c>
      <c r="E884" s="1014"/>
      <c r="F884" s="1014"/>
      <c r="G884" s="188"/>
      <c r="H884" s="267"/>
      <c r="I884" s="267"/>
    </row>
    <row r="885" spans="1:9" ht="12.75">
      <c r="C885" s="191"/>
      <c r="D885" s="653"/>
      <c r="E885" s="653"/>
      <c r="F885" s="653"/>
      <c r="G885" s="188"/>
      <c r="H885" s="267"/>
      <c r="I885" s="267"/>
    </row>
    <row r="886" spans="1:9" ht="14.25">
      <c r="A886" s="271"/>
      <c r="B886" s="622" t="s">
        <v>1439</v>
      </c>
      <c r="D886" s="999" t="s">
        <v>1544</v>
      </c>
      <c r="E886" s="999"/>
      <c r="F886" s="999"/>
      <c r="G886" s="188"/>
      <c r="H886" s="267"/>
      <c r="I886" s="267"/>
    </row>
    <row r="887" spans="1:9" ht="12.75">
      <c r="D887" s="3" t="s">
        <v>1496</v>
      </c>
      <c r="E887" s="1012" t="s">
        <v>2176</v>
      </c>
      <c r="F887" s="1012"/>
      <c r="G887" s="188"/>
    </row>
    <row r="888" spans="1:9" ht="12.75">
      <c r="D888" s="44"/>
      <c r="E888" s="188"/>
      <c r="F888" s="188"/>
      <c r="G888" s="188"/>
      <c r="H888" s="267"/>
      <c r="I888" s="267"/>
    </row>
    <row r="889" spans="1:9" ht="14.25">
      <c r="A889" s="271"/>
      <c r="B889" s="622" t="s">
        <v>1439</v>
      </c>
      <c r="D889" s="972" t="s">
        <v>1974</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2" t="s">
        <v>132</v>
      </c>
      <c r="D892" s="1008" t="s">
        <v>1754</v>
      </c>
      <c r="E892" s="1008"/>
      <c r="F892" s="1008"/>
      <c r="G892" s="188"/>
      <c r="H892" s="267"/>
      <c r="I892" s="267"/>
    </row>
    <row r="893" spans="1:9" ht="29.65" customHeight="1">
      <c r="B893" s="578"/>
      <c r="D893" s="1008"/>
      <c r="E893" s="1008"/>
      <c r="F893" s="1008"/>
      <c r="G893" s="188"/>
      <c r="H893" s="267"/>
      <c r="I893" s="267"/>
    </row>
    <row r="894" spans="1:9" ht="14.25">
      <c r="A894" s="271"/>
      <c r="B894"/>
      <c r="D894" s="979" t="s">
        <v>2280</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2" t="s">
        <v>132</v>
      </c>
      <c r="D901" s="1009" t="s">
        <v>1222</v>
      </c>
      <c r="E901" s="1009"/>
      <c r="F901" s="1009"/>
      <c r="G901" s="188"/>
      <c r="H901" s="267"/>
      <c r="I901" s="267"/>
    </row>
    <row r="902" spans="1:9" ht="14.25">
      <c r="A902" s="271"/>
      <c r="B902" s="271"/>
      <c r="D902" s="1009" t="s">
        <v>1223</v>
      </c>
      <c r="E902" s="1009"/>
      <c r="F902" s="1009"/>
      <c r="G902" s="188"/>
      <c r="H902" s="267"/>
      <c r="I902" s="267"/>
    </row>
    <row r="903" spans="1:9" ht="14.25">
      <c r="A903" s="271"/>
      <c r="B903" s="271"/>
      <c r="D903" s="3" t="s">
        <v>1545</v>
      </c>
      <c r="E903" s="1010" t="s">
        <v>2176</v>
      </c>
      <c r="F903" s="1010"/>
      <c r="G903" s="188"/>
      <c r="H903" s="267"/>
      <c r="I903" s="267"/>
    </row>
    <row r="904" spans="1:9" ht="14.25">
      <c r="A904" s="271"/>
      <c r="B904" s="271"/>
      <c r="D904" s="44"/>
      <c r="E904" s="188"/>
      <c r="F904" s="188"/>
      <c r="G904" s="188"/>
      <c r="H904" s="267"/>
      <c r="I904" s="267"/>
    </row>
    <row r="905" spans="1:9" ht="14.25">
      <c r="A905" s="271"/>
      <c r="B905" s="622" t="s">
        <v>132</v>
      </c>
      <c r="D905" s="979" t="s">
        <v>1523</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1466</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1707</v>
      </c>
      <c r="E912" s="1003"/>
      <c r="F912" s="1003"/>
      <c r="G912" s="188"/>
      <c r="H912" s="267"/>
      <c r="I912" s="267"/>
    </row>
    <row r="913" spans="1:9" ht="12.75">
      <c r="A913" s="190"/>
      <c r="B913" s="190"/>
      <c r="C913" s="190"/>
      <c r="D913" s="999" t="s">
        <v>1543</v>
      </c>
      <c r="E913" s="999"/>
      <c r="F913" s="999"/>
      <c r="G913" s="188"/>
      <c r="H913" s="267"/>
      <c r="I913" s="267"/>
    </row>
    <row r="914" spans="1:9" ht="12.75">
      <c r="A914" s="190"/>
      <c r="B914" s="190"/>
      <c r="C914" s="190"/>
      <c r="F914" s="188"/>
      <c r="G914" s="188"/>
      <c r="H914" s="267"/>
      <c r="I914" s="267"/>
    </row>
    <row r="915" spans="1:9" ht="13.7" customHeight="1">
      <c r="A915" s="190"/>
      <c r="B915" s="622" t="s">
        <v>132</v>
      </c>
      <c r="C915" s="190"/>
      <c r="D915" s="1006" t="s">
        <v>1717</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2" t="s">
        <v>1439</v>
      </c>
      <c r="C921" s="191"/>
      <c r="D921" s="980" t="s">
        <v>1804</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2" t="s">
        <v>1439</v>
      </c>
      <c r="C929" s="360"/>
      <c r="D929" s="980" t="s">
        <v>1805</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2" t="s">
        <v>1439</v>
      </c>
      <c r="C939" s="191"/>
      <c r="D939" s="1007" t="s">
        <v>1718</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58" customFormat="1" ht="14.25">
      <c r="A947" s="271"/>
      <c r="B947" s="622" t="s">
        <v>132</v>
      </c>
      <c r="C947" s="191"/>
      <c r="D947" s="980" t="s">
        <v>1719</v>
      </c>
      <c r="E947" s="980"/>
      <c r="F947" s="980"/>
      <c r="G947" s="188"/>
    </row>
    <row r="948" spans="1:9" s="458" customFormat="1" ht="14.25">
      <c r="A948" s="271"/>
      <c r="B948" s="271"/>
      <c r="C948" s="191"/>
      <c r="D948" s="980"/>
      <c r="E948" s="980"/>
      <c r="F948" s="980"/>
      <c r="G948" s="188"/>
    </row>
    <row r="949" spans="1:9" s="458" customFormat="1" ht="14.25">
      <c r="A949" s="271"/>
      <c r="B949" s="271"/>
      <c r="C949" s="191"/>
      <c r="D949" s="980"/>
      <c r="E949" s="980"/>
      <c r="F949" s="980"/>
      <c r="G949" s="188"/>
    </row>
    <row r="950" spans="1:9" s="458" customFormat="1" ht="14.25">
      <c r="A950" s="271"/>
      <c r="B950" s="271"/>
      <c r="C950" s="191"/>
      <c r="D950" s="980"/>
      <c r="E950" s="980"/>
      <c r="F950" s="980"/>
      <c r="G950" s="188"/>
    </row>
    <row r="951" spans="1:9" s="458" customFormat="1" ht="14.25">
      <c r="A951" s="271"/>
      <c r="B951" s="271"/>
      <c r="C951" s="191"/>
      <c r="D951" s="3"/>
      <c r="E951" s="5"/>
      <c r="F951" s="188"/>
      <c r="G951" s="188"/>
    </row>
    <row r="952" spans="1:9" ht="14.25" customHeight="1">
      <c r="A952" s="18"/>
      <c r="B952" s="18"/>
      <c r="C952" s="207"/>
      <c r="D952" s="979" t="s">
        <v>1720</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2" t="s">
        <v>1439</v>
      </c>
      <c r="D955" s="979" t="s">
        <v>1721</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1710</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2" t="s">
        <v>1439</v>
      </c>
      <c r="C960" s="207"/>
      <c r="D960" s="1002" t="s">
        <v>1709</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6"/>
      <c r="E966" s="626"/>
      <c r="F966" s="626"/>
      <c r="G966" s="188"/>
      <c r="H966" s="267"/>
      <c r="I966" s="267"/>
    </row>
    <row r="967" spans="1:9" ht="14.45" customHeight="1">
      <c r="A967" s="271"/>
      <c r="B967" s="622" t="s">
        <v>132</v>
      </c>
      <c r="C967" s="207"/>
      <c r="D967" s="1002" t="s">
        <v>1708</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2" t="s">
        <v>132</v>
      </c>
      <c r="C973" s="207"/>
      <c r="D973" s="1002" t="s">
        <v>1711</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2" t="s">
        <v>132</v>
      </c>
      <c r="C979" s="207"/>
      <c r="D979" s="1002" t="s">
        <v>1712</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6"/>
      <c r="E982" s="626"/>
      <c r="F982" s="626"/>
      <c r="G982" s="188"/>
      <c r="H982" s="267"/>
      <c r="I982" s="267"/>
    </row>
    <row r="983" spans="1:9" ht="14.25">
      <c r="A983" s="271"/>
      <c r="B983" s="622" t="s">
        <v>132</v>
      </c>
      <c r="C983" s="207"/>
      <c r="D983" s="1002" t="s">
        <v>1713</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2" t="s">
        <v>132</v>
      </c>
      <c r="C986" s="207"/>
      <c r="D986" s="979" t="s">
        <v>1714</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2" t="s">
        <v>132</v>
      </c>
      <c r="C989" s="207"/>
      <c r="D989" s="1004" t="s">
        <v>1848</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2" t="s">
        <v>132</v>
      </c>
      <c r="C994" s="207"/>
      <c r="D994" s="999" t="s">
        <v>2281</v>
      </c>
      <c r="E994" s="999"/>
      <c r="F994" s="999"/>
      <c r="G994" s="188"/>
      <c r="H994" s="267"/>
      <c r="I994" s="267"/>
    </row>
    <row r="995" spans="1:9" ht="12.75">
      <c r="A995" s="207"/>
      <c r="B995" s="207"/>
      <c r="C995" s="207"/>
      <c r="D995" s="44"/>
      <c r="E995" s="188"/>
      <c r="F995" s="188"/>
      <c r="G995" s="188"/>
      <c r="H995" s="267"/>
      <c r="I995" s="267"/>
    </row>
    <row r="996" spans="1:9" ht="12.75">
      <c r="A996" s="207"/>
      <c r="B996" s="622" t="s">
        <v>132</v>
      </c>
      <c r="C996" s="207"/>
      <c r="D996" s="999" t="s">
        <v>2282</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1546</v>
      </c>
      <c r="E998" s="1000"/>
      <c r="F998" s="1000"/>
      <c r="G998" s="188"/>
      <c r="H998" s="267"/>
      <c r="I998" s="267"/>
    </row>
    <row r="999" spans="1:9" ht="12.75">
      <c r="A999" s="207"/>
      <c r="C999" s="207"/>
      <c r="D999" s="192"/>
      <c r="E999" s="188"/>
      <c r="F999" s="188"/>
      <c r="G999" s="188"/>
      <c r="H999" s="267"/>
      <c r="I999" s="267"/>
    </row>
    <row r="1000" spans="1:9" ht="14.25">
      <c r="A1000" s="271"/>
      <c r="B1000" s="622" t="s">
        <v>1439</v>
      </c>
      <c r="C1000" s="207"/>
      <c r="D1000" s="979" t="s">
        <v>1715</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2" t="s">
        <v>132</v>
      </c>
      <c r="C1006" s="207"/>
      <c r="D1006" s="979" t="s">
        <v>1716</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1547</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2" t="s">
        <v>1439</v>
      </c>
      <c r="C1014" s="207"/>
      <c r="D1014" s="979" t="s">
        <v>1722</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2" t="s">
        <v>132</v>
      </c>
      <c r="C1018" s="207"/>
      <c r="D1018" s="979" t="s">
        <v>1723</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1548</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2" t="s">
        <v>1439</v>
      </c>
      <c r="C1024" s="207"/>
      <c r="D1024" s="979" t="s">
        <v>1725</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2" t="s">
        <v>132</v>
      </c>
      <c r="C1028" s="207"/>
      <c r="D1028" s="979" t="s">
        <v>1724</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2" t="s">
        <v>132</v>
      </c>
      <c r="C1032" s="207"/>
      <c r="D1032" s="977" t="s">
        <v>1726</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2" t="s">
        <v>132</v>
      </c>
      <c r="C1036" s="207"/>
      <c r="D1036" s="979" t="s">
        <v>1727</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2" t="s">
        <v>132</v>
      </c>
      <c r="C1040" s="207"/>
      <c r="D1040" s="979" t="s">
        <v>1728</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2" t="s">
        <v>132</v>
      </c>
      <c r="C1044" s="207"/>
      <c r="D1044" s="979" t="s">
        <v>1549</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2" t="s">
        <v>132</v>
      </c>
      <c r="C1048" s="207"/>
      <c r="D1048" s="979" t="s">
        <v>1550</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2" t="s">
        <v>132</v>
      </c>
      <c r="C1052" s="207"/>
      <c r="D1052" s="1041" t="s">
        <v>1171</v>
      </c>
      <c r="E1052" s="1041"/>
      <c r="F1052" s="1041"/>
      <c r="G1052" s="621"/>
      <c r="H1052" s="267"/>
      <c r="I1052" s="267"/>
    </row>
    <row r="1053" spans="1:9" ht="12.75">
      <c r="A1053" s="207"/>
      <c r="B1053" s="207"/>
      <c r="C1053" s="207"/>
      <c r="D1053" s="1041"/>
      <c r="E1053" s="1041"/>
      <c r="F1053" s="1041"/>
      <c r="G1053" s="621"/>
      <c r="H1053" s="267"/>
      <c r="I1053" s="267"/>
    </row>
    <row r="1054" spans="1:9" ht="12.75">
      <c r="A1054" s="207"/>
      <c r="B1054" s="207"/>
      <c r="C1054" s="207"/>
      <c r="D1054" s="1041"/>
      <c r="E1054" s="1041"/>
      <c r="F1054" s="1041"/>
      <c r="G1054" s="621"/>
      <c r="H1054" s="267"/>
      <c r="I1054" s="267"/>
    </row>
    <row r="1055" spans="1:9" ht="12.75">
      <c r="A1055" s="207"/>
      <c r="B1055" s="207"/>
      <c r="C1055" s="207"/>
      <c r="D1055" s="1041"/>
      <c r="E1055" s="1041"/>
      <c r="F1055" s="1041"/>
      <c r="G1055" s="621"/>
      <c r="H1055" s="267"/>
      <c r="I1055" s="267"/>
    </row>
    <row r="1056" spans="1:9" ht="12.75">
      <c r="A1056" s="207"/>
      <c r="B1056" s="207"/>
      <c r="C1056" s="207"/>
      <c r="D1056" s="1041"/>
      <c r="E1056" s="1041"/>
      <c r="F1056" s="1041"/>
      <c r="G1056" s="621"/>
      <c r="H1056" s="267"/>
      <c r="I1056" s="267"/>
    </row>
    <row r="1057" spans="1:9" ht="12.75">
      <c r="A1057" s="207"/>
      <c r="B1057" s="207"/>
      <c r="C1057" s="207"/>
      <c r="D1057" s="1041"/>
      <c r="E1057" s="1041"/>
      <c r="F1057" s="1041"/>
      <c r="G1057" s="621"/>
      <c r="H1057" s="267"/>
      <c r="I1057" s="267"/>
    </row>
    <row r="1058" spans="1:9" ht="12.75">
      <c r="A1058" s="207"/>
      <c r="B1058" s="207"/>
      <c r="C1058" s="207"/>
      <c r="D1058" s="1041"/>
      <c r="E1058" s="1041"/>
      <c r="F1058" s="1041"/>
      <c r="G1058" s="621"/>
      <c r="H1058" s="267"/>
      <c r="I1058" s="267"/>
    </row>
    <row r="1059" spans="1:9" ht="12.75">
      <c r="A1059" s="207"/>
      <c r="B1059" s="207"/>
      <c r="C1059" s="207"/>
      <c r="D1059" s="1041"/>
      <c r="E1059" s="1041"/>
      <c r="F1059" s="1041"/>
      <c r="G1059" s="621"/>
      <c r="H1059" s="267"/>
      <c r="I1059" s="267"/>
    </row>
    <row r="1060" spans="1:9" ht="12.75">
      <c r="A1060" s="207"/>
      <c r="B1060" s="207"/>
      <c r="C1060" s="207"/>
      <c r="D1060" s="1041"/>
      <c r="E1060" s="1041"/>
      <c r="F1060" s="1041"/>
      <c r="G1060" s="621"/>
      <c r="H1060" s="267"/>
      <c r="I1060" s="267"/>
    </row>
    <row r="1061" spans="1:9" ht="12.75">
      <c r="A1061" s="207"/>
      <c r="B1061" s="207"/>
      <c r="C1061" s="207"/>
      <c r="D1061" s="1041"/>
      <c r="E1061" s="1041"/>
      <c r="F1061" s="1041"/>
      <c r="G1061" s="621"/>
      <c r="H1061" s="267"/>
      <c r="I1061" s="267"/>
    </row>
    <row r="1062" spans="1:9" ht="27.6" customHeight="1">
      <c r="A1062" s="207"/>
      <c r="B1062" s="207"/>
      <c r="C1062" s="207"/>
      <c r="D1062" s="1041"/>
      <c r="E1062" s="1041"/>
      <c r="F1062" s="1041"/>
      <c r="G1062" s="621"/>
      <c r="H1062" s="267"/>
      <c r="I1062" s="267"/>
    </row>
    <row r="1063" spans="1:9" ht="12.75">
      <c r="A1063" s="207"/>
      <c r="B1063" s="207"/>
      <c r="C1063" s="207"/>
      <c r="D1063" s="427"/>
      <c r="E1063" s="427"/>
      <c r="F1063" s="427"/>
      <c r="G1063" s="427"/>
      <c r="H1063" s="267"/>
      <c r="I1063" s="267"/>
    </row>
    <row r="1064" spans="1:9" ht="12.75" customHeight="1">
      <c r="A1064" s="207"/>
      <c r="B1064" s="207"/>
      <c r="C1064" s="207"/>
      <c r="D1064" s="1000" t="s">
        <v>1551</v>
      </c>
      <c r="E1064" s="1000"/>
      <c r="F1064" s="1000"/>
      <c r="G1064" s="427"/>
      <c r="H1064" s="267"/>
      <c r="I1064" s="267"/>
    </row>
    <row r="1065" spans="1:9" ht="12.75" customHeight="1">
      <c r="A1065" s="207"/>
      <c r="B1065" s="207"/>
      <c r="C1065" s="207"/>
      <c r="D1065" s="192"/>
      <c r="E1065" s="427"/>
      <c r="F1065" s="427"/>
      <c r="G1065" s="427"/>
      <c r="H1065" s="267"/>
      <c r="I1065" s="267"/>
    </row>
    <row r="1066" spans="1:9" ht="14.25">
      <c r="A1066" s="271"/>
      <c r="B1066" s="622" t="s">
        <v>1439</v>
      </c>
      <c r="C1066" s="207"/>
      <c r="D1066" s="972" t="s">
        <v>2334</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2" t="s">
        <v>132</v>
      </c>
      <c r="C1071" s="207"/>
      <c r="D1071" s="972" t="s">
        <v>2335</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2" t="s">
        <v>132</v>
      </c>
      <c r="C1076" s="207"/>
      <c r="D1076" s="1005" t="s">
        <v>1729</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2" t="s">
        <v>132</v>
      </c>
      <c r="C1080" s="438"/>
      <c r="D1080" s="1035" t="s">
        <v>2283</v>
      </c>
      <c r="E1080" s="1035"/>
      <c r="F1080" s="1035"/>
      <c r="G1080" s="459"/>
    </row>
    <row r="1081" spans="1:9" ht="12.75">
      <c r="A1081" s="438"/>
      <c r="B1081" s="438"/>
      <c r="C1081" s="438"/>
      <c r="D1081" s="1035"/>
      <c r="E1081" s="1035"/>
      <c r="F1081" s="1035"/>
      <c r="G1081" s="459"/>
    </row>
    <row r="1082" spans="1:9" ht="12.75">
      <c r="A1082" s="438"/>
      <c r="B1082" s="438"/>
      <c r="C1082" s="438"/>
      <c r="D1082" s="1035"/>
      <c r="E1082" s="1035"/>
      <c r="F1082" s="1035"/>
      <c r="G1082" s="459"/>
    </row>
    <row r="1083" spans="1:9" ht="12.75">
      <c r="A1083" s="207"/>
      <c r="B1083" s="207"/>
      <c r="C1083" s="207"/>
      <c r="D1083" s="188"/>
      <c r="E1083" s="188"/>
      <c r="F1083" s="188"/>
      <c r="G1083" s="188"/>
    </row>
    <row r="1084" spans="1:9" ht="12.75">
      <c r="C1084" s="207"/>
      <c r="D1084" s="1000" t="s">
        <v>1552</v>
      </c>
      <c r="E1084" s="1000"/>
      <c r="F1084" s="1000"/>
      <c r="G1084" s="188"/>
    </row>
    <row r="1085" spans="1:9" ht="12.75">
      <c r="C1085" s="207"/>
      <c r="D1085" s="192"/>
      <c r="E1085" s="188"/>
      <c r="F1085" s="188"/>
      <c r="G1085" s="188"/>
    </row>
    <row r="1086" spans="1:9" ht="12.75">
      <c r="A1086" s="207"/>
      <c r="B1086" s="622" t="s">
        <v>132</v>
      </c>
      <c r="C1086" s="207"/>
      <c r="D1086" s="979" t="s">
        <v>1730</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2" t="s">
        <v>132</v>
      </c>
      <c r="C1090" s="207"/>
      <c r="D1090" s="979" t="s">
        <v>1731</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1163</v>
      </c>
      <c r="E1094" s="1000"/>
      <c r="F1094" s="1000"/>
      <c r="G1094" s="188"/>
    </row>
    <row r="1095" spans="1:7" ht="12.75">
      <c r="A1095" s="207"/>
      <c r="B1095" s="207"/>
      <c r="C1095" s="207"/>
      <c r="D1095" s="999" t="s">
        <v>1553</v>
      </c>
      <c r="E1095" s="999"/>
      <c r="F1095" s="999"/>
      <c r="G1095" s="188"/>
    </row>
    <row r="1096" spans="1:7" ht="12.75">
      <c r="A1096" s="207"/>
      <c r="B1096" s="207"/>
      <c r="C1096" s="207"/>
      <c r="D1096" s="428"/>
      <c r="E1096" s="188"/>
      <c r="F1096" s="188"/>
      <c r="G1096" s="188"/>
    </row>
    <row r="1097" spans="1:7" ht="14.25">
      <c r="A1097" s="271"/>
      <c r="B1097" s="622" t="s">
        <v>132</v>
      </c>
      <c r="C1097" s="207"/>
      <c r="D1097" s="979" t="s">
        <v>1732</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2" t="s">
        <v>132</v>
      </c>
      <c r="C1100" s="207"/>
      <c r="D1100" s="979" t="s">
        <v>1733</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1554</v>
      </c>
      <c r="E1103" s="1000"/>
      <c r="F1103" s="1000"/>
      <c r="G1103" s="188"/>
    </row>
    <row r="1104" spans="1:7" ht="12.75">
      <c r="A1104" s="207"/>
      <c r="B1104" s="207"/>
      <c r="C1104" s="207"/>
      <c r="D1104" s="192"/>
      <c r="E1104" s="188"/>
      <c r="F1104" s="188"/>
      <c r="G1104" s="188"/>
    </row>
    <row r="1105" spans="1:7" ht="14.25">
      <c r="A1105" s="271"/>
      <c r="B1105" s="622" t="s">
        <v>1439</v>
      </c>
      <c r="C1105" s="207"/>
      <c r="D1105" s="979" t="s">
        <v>1734</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2" t="s">
        <v>132</v>
      </c>
      <c r="C1113" s="207"/>
      <c r="D1113" s="979" t="s">
        <v>1735</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2" t="s">
        <v>132</v>
      </c>
      <c r="C1121" s="207"/>
      <c r="D1121" s="1004" t="s">
        <v>1849</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6"/>
      <c r="E1124" s="666"/>
      <c r="F1124" s="666"/>
      <c r="G1124" s="188"/>
    </row>
    <row r="1125" spans="1:7" ht="12.75">
      <c r="D1125" s="1000" t="s">
        <v>1555</v>
      </c>
      <c r="E1125" s="1000"/>
      <c r="F1125" s="1000"/>
    </row>
    <row r="1126" spans="1:7" ht="12.75">
      <c r="D1126" s="192"/>
    </row>
    <row r="1127" spans="1:7" ht="14.25">
      <c r="A1127" s="271"/>
      <c r="B1127" s="622" t="s">
        <v>1439</v>
      </c>
      <c r="D1127" s="979" t="s">
        <v>1736</v>
      </c>
      <c r="E1127" s="979"/>
      <c r="F1127" s="979"/>
    </row>
    <row r="1128" spans="1:7" ht="12.75">
      <c r="D1128" s="979"/>
      <c r="E1128" s="979"/>
      <c r="F1128" s="979"/>
    </row>
    <row r="1129" spans="1:7" ht="12.75"/>
    <row r="1130" spans="1:7" ht="14.25">
      <c r="A1130" s="271"/>
      <c r="B1130" s="622" t="s">
        <v>132</v>
      </c>
      <c r="D1130" s="979" t="s">
        <v>1737</v>
      </c>
      <c r="E1130" s="979"/>
      <c r="F1130" s="979"/>
    </row>
    <row r="1131" spans="1:7" ht="12.75">
      <c r="D1131" s="979"/>
      <c r="E1131" s="979"/>
      <c r="F1131" s="979"/>
    </row>
    <row r="1132" spans="1:7" ht="12.75"/>
    <row r="1133" spans="1:7" ht="12.75">
      <c r="D1133" s="1000" t="s">
        <v>1556</v>
      </c>
      <c r="E1133" s="1000"/>
      <c r="F1133" s="1000"/>
    </row>
    <row r="1134" spans="1:7" ht="12.75">
      <c r="D1134" s="192"/>
    </row>
    <row r="1135" spans="1:7" ht="14.25">
      <c r="A1135" s="271"/>
      <c r="B1135" s="622" t="s">
        <v>132</v>
      </c>
      <c r="D1135" s="999" t="s">
        <v>1738</v>
      </c>
      <c r="E1135" s="999"/>
      <c r="F1135" s="999"/>
    </row>
    <row r="1136" spans="1:7" ht="12.75"/>
    <row r="1137" spans="1:7" ht="14.25">
      <c r="A1137" s="271"/>
      <c r="B1137" s="622" t="s">
        <v>132</v>
      </c>
      <c r="D1137" s="979" t="s">
        <v>1739</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1749</v>
      </c>
      <c r="E1140" s="1000"/>
      <c r="F1140" s="1000"/>
      <c r="G1140"/>
    </row>
    <row r="1141" spans="1:7" ht="12.75">
      <c r="D1141" s="192"/>
      <c r="G1141"/>
    </row>
    <row r="1142" spans="1:7" ht="14.45" customHeight="1">
      <c r="A1142" s="271"/>
      <c r="B1142" s="622" t="s">
        <v>132</v>
      </c>
      <c r="D1142" s="972" t="s">
        <v>2336</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1467</v>
      </c>
      <c r="B1157" s="1033"/>
      <c r="C1157" s="1033"/>
      <c r="D1157" s="1033"/>
      <c r="E1157" s="1033"/>
      <c r="F1157" s="1033"/>
      <c r="G1157" s="1033"/>
    </row>
    <row r="1158" spans="1:7" ht="12.75">
      <c r="A1158" s="44"/>
      <c r="B1158" s="44"/>
    </row>
    <row r="1159" spans="1:7" ht="12.75">
      <c r="C1159" s="207"/>
      <c r="D1159" s="1000" t="s">
        <v>1740</v>
      </c>
      <c r="E1159" s="1000"/>
      <c r="F1159" s="1000"/>
    </row>
    <row r="1160" spans="1:7" ht="12.75">
      <c r="A1160" s="190"/>
      <c r="B1160" s="190"/>
      <c r="C1160" s="190"/>
      <c r="D1160" s="1001" t="s">
        <v>1560</v>
      </c>
      <c r="E1160" s="999"/>
      <c r="F1160" s="999"/>
    </row>
    <row r="1161" spans="1:7" ht="12.75">
      <c r="A1161" s="190"/>
      <c r="B1161" s="190"/>
      <c r="C1161" s="190"/>
      <c r="F1161" s="188"/>
      <c r="G1161"/>
    </row>
    <row r="1162" spans="1:7" ht="13.7" customHeight="1">
      <c r="B1162" s="622" t="s">
        <v>132</v>
      </c>
      <c r="D1162" s="1054" t="s">
        <v>2193</v>
      </c>
      <c r="E1162" s="1054"/>
      <c r="F1162" s="1054"/>
      <c r="G1162"/>
    </row>
    <row r="1163" spans="1:7" ht="12.75">
      <c r="D1163" s="1054"/>
      <c r="E1163" s="1054"/>
      <c r="F1163" s="1054"/>
      <c r="G1163"/>
    </row>
    <row r="1164" spans="1:7" ht="12.75">
      <c r="D1164" s="15"/>
      <c r="E1164" s="945" t="s">
        <v>2194</v>
      </c>
      <c r="F1164" s="15"/>
      <c r="G1164"/>
    </row>
    <row r="1165" spans="1:7" ht="12.75">
      <c r="D1165" s="15"/>
      <c r="E1165" s="15"/>
      <c r="F1165" s="15"/>
      <c r="G1165"/>
    </row>
    <row r="1166" spans="1:7" ht="12.75">
      <c r="D1166" s="996" t="s">
        <v>2192</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2" t="s">
        <v>132</v>
      </c>
      <c r="C1170" s="191"/>
      <c r="D1170" s="979" t="s">
        <v>1750</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2" t="s">
        <v>132</v>
      </c>
      <c r="C1175" s="191"/>
      <c r="D1175" s="972" t="s">
        <v>1832</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2" t="s">
        <v>132</v>
      </c>
      <c r="D1178" s="999" t="s">
        <v>1741</v>
      </c>
      <c r="E1178" s="999"/>
      <c r="F1178" s="999"/>
      <c r="G1178"/>
    </row>
    <row r="1179" spans="1:7" ht="12.75">
      <c r="G1179"/>
    </row>
    <row r="1180" spans="1:7" ht="14.25">
      <c r="A1180" s="271"/>
      <c r="B1180" s="622" t="s">
        <v>132</v>
      </c>
      <c r="D1180" s="999" t="s">
        <v>1742</v>
      </c>
      <c r="E1180" s="999"/>
      <c r="F1180" s="999"/>
      <c r="G1180"/>
    </row>
    <row r="1181" spans="1:7" ht="12.75">
      <c r="D1181" s="44"/>
      <c r="G1181"/>
    </row>
    <row r="1182" spans="1:7" ht="14.25">
      <c r="A1182" s="271"/>
      <c r="B1182" s="622" t="s">
        <v>132</v>
      </c>
      <c r="D1182" s="999" t="s">
        <v>1743</v>
      </c>
      <c r="E1182" s="999"/>
      <c r="F1182" s="999"/>
      <c r="G1182"/>
    </row>
    <row r="1183" spans="1:7" ht="12.75">
      <c r="D1183" s="44"/>
      <c r="G1183"/>
    </row>
    <row r="1184" spans="1:7" ht="14.25">
      <c r="A1184" s="271"/>
      <c r="B1184" s="622" t="s">
        <v>132</v>
      </c>
      <c r="D1184" s="979" t="s">
        <v>1744</v>
      </c>
      <c r="E1184" s="979"/>
      <c r="F1184" s="979"/>
      <c r="G1184"/>
    </row>
    <row r="1185" spans="1:7" ht="14.25">
      <c r="A1185" s="271"/>
      <c r="B1185" s="271"/>
      <c r="D1185" s="979"/>
      <c r="E1185" s="979"/>
      <c r="F1185" s="979"/>
      <c r="G1185"/>
    </row>
    <row r="1186" spans="1:7" ht="14.25">
      <c r="A1186" s="271"/>
      <c r="B1186" s="271"/>
      <c r="D1186" s="44"/>
    </row>
    <row r="1187" spans="1:7" s="458" customFormat="1" ht="14.25">
      <c r="A1187" s="289"/>
      <c r="B1187" s="622" t="s">
        <v>132</v>
      </c>
      <c r="C1187" s="290"/>
      <c r="D1187" s="997" t="s">
        <v>1745</v>
      </c>
      <c r="E1187" s="997"/>
      <c r="F1187" s="997"/>
      <c r="G1187" s="292"/>
    </row>
    <row r="1188" spans="1:7" s="458" customFormat="1" ht="12.75">
      <c r="A1188" s="290"/>
      <c r="B1188" s="290"/>
      <c r="C1188" s="290"/>
      <c r="D1188" s="997"/>
      <c r="E1188" s="997"/>
      <c r="F1188" s="997"/>
      <c r="G1188" s="292"/>
    </row>
    <row r="1189" spans="1:7" s="458" customFormat="1" ht="12.75">
      <c r="A1189" s="290"/>
      <c r="B1189" s="290"/>
      <c r="C1189" s="290"/>
      <c r="D1189" s="291"/>
      <c r="E1189" s="292"/>
      <c r="F1189" s="292"/>
      <c r="G1189" s="292"/>
    </row>
    <row r="1190" spans="1:7" s="458" customFormat="1" ht="14.25">
      <c r="A1190" s="289"/>
      <c r="B1190" s="622" t="s">
        <v>132</v>
      </c>
      <c r="C1190" s="290"/>
      <c r="D1190" s="998" t="s">
        <v>1746</v>
      </c>
      <c r="E1190" s="998"/>
      <c r="F1190" s="998"/>
      <c r="G1190" s="292"/>
    </row>
    <row r="1191" spans="1:7" s="458" customFormat="1" ht="12.75">
      <c r="A1191" s="290"/>
      <c r="B1191" s="290"/>
      <c r="C1191" s="290"/>
      <c r="D1191" s="291"/>
      <c r="E1191" s="292"/>
      <c r="F1191" s="292"/>
      <c r="G1191" s="292"/>
    </row>
    <row r="1192" spans="1:7" ht="14.25">
      <c r="A1192" s="271"/>
      <c r="B1192" s="622" t="s">
        <v>132</v>
      </c>
      <c r="D1192" s="999" t="s">
        <v>1747</v>
      </c>
      <c r="E1192" s="999"/>
      <c r="F1192" s="999"/>
    </row>
    <row r="1193" spans="1:7" ht="14.25">
      <c r="A1193" s="271"/>
      <c r="B1193" s="271"/>
      <c r="D1193" s="44"/>
    </row>
    <row r="1194" spans="1:7" ht="14.25">
      <c r="A1194" s="271"/>
      <c r="B1194" s="622" t="s">
        <v>132</v>
      </c>
      <c r="D1194" s="979" t="s">
        <v>1748</v>
      </c>
      <c r="E1194" s="979"/>
      <c r="F1194" s="979"/>
    </row>
    <row r="1195" spans="1:7" ht="14.25">
      <c r="A1195" s="271"/>
      <c r="B1195" s="271"/>
      <c r="D1195" s="979"/>
      <c r="E1195" s="979"/>
      <c r="F1195" s="979"/>
    </row>
    <row r="1196" spans="1:7" ht="12.75"/>
    <row r="1197" spans="1:7" ht="12.75">
      <c r="A1197" s="1033" t="s">
        <v>2110</v>
      </c>
      <c r="B1197" s="1033"/>
      <c r="C1197" s="1033"/>
      <c r="D1197" s="1033"/>
      <c r="E1197" s="1033"/>
      <c r="F1197" s="1033"/>
      <c r="G1197" s="1033"/>
    </row>
    <row r="1198" spans="1:7" ht="12.75"/>
    <row r="1199" spans="1:7" ht="12.75">
      <c r="A1199" s="1033" t="s">
        <v>1468</v>
      </c>
      <c r="B1199" s="1033"/>
      <c r="C1199" s="1033"/>
      <c r="D1199" s="1033"/>
      <c r="E1199" s="1033"/>
      <c r="F1199" s="1033"/>
      <c r="G1199" s="1033"/>
    </row>
    <row r="1200" spans="1:7" ht="12.75"/>
    <row r="1201" spans="1:7" ht="12.75">
      <c r="D1201" s="1003" t="s">
        <v>1580</v>
      </c>
      <c r="E1201" s="1003"/>
      <c r="F1201" s="1003"/>
    </row>
    <row r="1202" spans="1:7" ht="12.75">
      <c r="D1202" s="1038" t="s">
        <v>2011</v>
      </c>
      <c r="E1202" s="1038"/>
      <c r="F1202" s="1038"/>
    </row>
    <row r="1203" spans="1:7" ht="12.75">
      <c r="A1203" s="190"/>
      <c r="B1203" s="190"/>
      <c r="C1203" s="190"/>
    </row>
    <row r="1204" spans="1:7" ht="14.25">
      <c r="A1204" s="271"/>
      <c r="B1204" s="271"/>
      <c r="C1204" s="191"/>
      <c r="D1204" s="1003" t="s">
        <v>1581</v>
      </c>
      <c r="E1204" s="1003"/>
      <c r="F1204" s="1003"/>
    </row>
    <row r="1205" spans="1:7" ht="12.75">
      <c r="B1205" s="622" t="s">
        <v>1439</v>
      </c>
      <c r="D1205" s="998" t="s">
        <v>1582</v>
      </c>
      <c r="E1205" s="998"/>
      <c r="F1205" s="998"/>
    </row>
    <row r="1206" spans="1:7" ht="12.75">
      <c r="D1206" s="1038" t="s">
        <v>2012</v>
      </c>
      <c r="E1206" s="1038"/>
      <c r="F1206" s="1038"/>
    </row>
    <row r="1207" spans="1:7" ht="12.75">
      <c r="G1207"/>
    </row>
    <row r="1208" spans="1:7" ht="12.75" customHeight="1">
      <c r="B1208" s="622" t="s">
        <v>132</v>
      </c>
      <c r="D1208" s="1022" t="s">
        <v>1913</v>
      </c>
      <c r="E1208" s="1022"/>
      <c r="F1208" s="1022"/>
      <c r="G1208"/>
    </row>
    <row r="1209" spans="1:7" ht="12.75">
      <c r="D1209" s="1022"/>
      <c r="E1209" s="1022"/>
      <c r="F1209" s="1022"/>
      <c r="G1209"/>
    </row>
    <row r="1210" spans="1:7" ht="12.75">
      <c r="G1210"/>
    </row>
    <row r="1211" spans="1:7" ht="12.75" customHeight="1"/>
    <row r="1212" spans="1:7" ht="12.75">
      <c r="A1212" s="1033" t="s">
        <v>1470</v>
      </c>
      <c r="B1212" s="1033"/>
      <c r="C1212" s="1033"/>
      <c r="D1212" s="1033"/>
      <c r="E1212" s="1033"/>
      <c r="F1212" s="1033"/>
      <c r="G1212" s="1033"/>
    </row>
    <row r="1213" spans="1:7" ht="12.75">
      <c r="A1213" s="44"/>
      <c r="B1213" s="44"/>
    </row>
    <row r="1214" spans="1:7" ht="12.75" customHeight="1">
      <c r="A1214" s="44"/>
      <c r="B1214" s="44"/>
      <c r="D1214" s="1000" t="s">
        <v>1469</v>
      </c>
      <c r="E1214" s="1000"/>
      <c r="F1214" s="1000"/>
    </row>
    <row r="1215" spans="1:7" ht="12.75" customHeight="1">
      <c r="A1215" s="44"/>
      <c r="B1215" s="44"/>
      <c r="D1215" s="999" t="s">
        <v>1476</v>
      </c>
      <c r="E1215" s="999"/>
      <c r="F1215" s="999"/>
    </row>
    <row r="1216" spans="1:7" ht="12.75" customHeight="1">
      <c r="A1216" s="44"/>
      <c r="B1216" s="44"/>
    </row>
    <row r="1217" spans="1:7" ht="14.25">
      <c r="A1217" s="271"/>
      <c r="B1217" s="622" t="s">
        <v>132</v>
      </c>
      <c r="D1217" s="1009" t="s">
        <v>1057</v>
      </c>
      <c r="E1217" s="1009"/>
      <c r="F1217" s="1009"/>
    </row>
    <row r="1218" spans="1:7" ht="12.75">
      <c r="D1218" s="999" t="s">
        <v>1180</v>
      </c>
      <c r="E1218" s="999"/>
      <c r="F1218" s="999"/>
    </row>
    <row r="1219" spans="1:7" ht="12.75">
      <c r="E1219" s="1024" t="s">
        <v>2195</v>
      </c>
      <c r="F1219" s="1024"/>
    </row>
    <row r="1220" spans="1:7" ht="12.75">
      <c r="D1220" s="3"/>
    </row>
    <row r="1221" spans="1:7" ht="12.75">
      <c r="D1221" s="1037" t="s">
        <v>1325</v>
      </c>
      <c r="E1221" s="1037"/>
      <c r="F1221" s="1037"/>
    </row>
    <row r="1222" spans="1:7" ht="12.75">
      <c r="B1222" s="622" t="s">
        <v>132</v>
      </c>
      <c r="D1222" s="972" t="s">
        <v>2196</v>
      </c>
      <c r="E1222" s="979"/>
      <c r="F1222" s="979"/>
      <c r="G1222"/>
    </row>
    <row r="1223" spans="1:7" ht="12.75">
      <c r="D1223" s="979"/>
      <c r="E1223" s="979"/>
      <c r="F1223" s="979"/>
      <c r="G1223"/>
    </row>
    <row r="1224" spans="1:7" ht="12.75">
      <c r="D1224" s="514" t="s">
        <v>1328</v>
      </c>
      <c r="E1224"/>
      <c r="F1224"/>
      <c r="G1224"/>
    </row>
    <row r="1225" spans="1:7" ht="13.7" customHeight="1">
      <c r="D1225" s="972" t="s">
        <v>2197</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1060</v>
      </c>
      <c r="E1229" s="1024"/>
      <c r="F1229" s="1024"/>
      <c r="G1229"/>
    </row>
    <row r="1230" spans="1:7" ht="12.75">
      <c r="B1230" s="622" t="s">
        <v>132</v>
      </c>
      <c r="D1230" s="1009" t="s">
        <v>1326</v>
      </c>
      <c r="E1230" s="1009"/>
      <c r="F1230" s="1009"/>
      <c r="G1230"/>
    </row>
    <row r="1231" spans="1:7" ht="12.75">
      <c r="E1231"/>
      <c r="F1231"/>
      <c r="G1231"/>
    </row>
    <row r="1232" spans="1:7" ht="12.75">
      <c r="D1232" s="1039" t="s">
        <v>1327</v>
      </c>
      <c r="E1232" s="1039"/>
      <c r="F1232" s="1039"/>
      <c r="G1232"/>
    </row>
    <row r="1233" spans="1:7" ht="12.75">
      <c r="D1233" s="3" t="s">
        <v>1058</v>
      </c>
      <c r="E1233"/>
      <c r="F1233"/>
      <c r="G1233"/>
    </row>
    <row r="1234" spans="1:7" ht="14.45" customHeight="1">
      <c r="A1234" s="271"/>
      <c r="B1234" s="622" t="s">
        <v>132</v>
      </c>
      <c r="D1234" s="979" t="s">
        <v>1583</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28" t="s">
        <v>1178</v>
      </c>
      <c r="E1238" s="428"/>
      <c r="F1238" s="428"/>
    </row>
    <row r="1239" spans="1:7" ht="14.25">
      <c r="A1239" s="271"/>
      <c r="B1239" s="622" t="s">
        <v>132</v>
      </c>
      <c r="D1239" s="979" t="s">
        <v>1584</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1504</v>
      </c>
      <c r="B1245" s="1033"/>
      <c r="C1245" s="1033"/>
      <c r="D1245" s="1033"/>
      <c r="E1245" s="1033"/>
      <c r="F1245" s="1033"/>
      <c r="G1245" s="1033"/>
    </row>
    <row r="1246" spans="1:7" ht="12.75">
      <c r="A1246" s="44"/>
      <c r="B1246" s="44"/>
    </row>
    <row r="1247" spans="1:7" ht="12.75">
      <c r="A1247" s="44"/>
      <c r="B1247" s="44"/>
      <c r="D1247" s="1029" t="s">
        <v>1505</v>
      </c>
      <c r="E1247" s="1029"/>
      <c r="F1247" s="1029"/>
    </row>
    <row r="1248" spans="1:7" ht="12.75">
      <c r="A1248" s="268"/>
      <c r="B1248" s="268"/>
      <c r="C1248" s="268"/>
      <c r="D1248" s="1009" t="s">
        <v>1518</v>
      </c>
      <c r="E1248" s="1009"/>
      <c r="F1248" s="1009"/>
      <c r="G1248" s="269"/>
    </row>
    <row r="1249" spans="1:7" ht="10.5" customHeight="1"/>
    <row r="1250" spans="1:7" ht="14.25">
      <c r="A1250" s="271"/>
      <c r="B1250" s="622" t="s">
        <v>132</v>
      </c>
      <c r="D1250" s="1009" t="s">
        <v>1181</v>
      </c>
      <c r="E1250" s="1009"/>
      <c r="F1250" s="1009"/>
    </row>
    <row r="1251" spans="1:7" ht="12.75">
      <c r="E1251" s="1024" t="s">
        <v>2198</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890" zoomScale="85" zoomScaleNormal="85" workbookViewId="0">
      <selection activeCell="AS921" sqref="AS92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7">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2355</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2" t="s">
        <v>2338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82" t="s">
        <v>1964</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0" t="s">
        <v>2358</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5" ht="12.95" customHeight="1"/>
    <row r="17" spans="1:40" ht="12.95" customHeight="1">
      <c r="A17" s="63" t="s">
        <v>830</v>
      </c>
      <c r="C17" s="5"/>
      <c r="D17" s="5"/>
      <c r="E17" s="5"/>
      <c r="F17" s="5"/>
      <c r="G17" s="5"/>
      <c r="H17" s="1351" t="s">
        <v>2359</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0" ht="12.95" customHeight="1"/>
    <row r="19" spans="1:40" ht="12.95"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6" t="s">
        <v>1404</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9">
        <f>ROUND('Basis &amp; Credits'!AB55,0)</f>
        <v>2500000</v>
      </c>
      <c r="N25" s="1409"/>
      <c r="O25" s="1409"/>
      <c r="P25" s="1409"/>
      <c r="Q25" s="140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9">
        <f>'Basis &amp; Credits'!AB76</f>
        <v>3008597</v>
      </c>
      <c r="N27" s="1409"/>
      <c r="O27" s="1409"/>
      <c r="P27" s="1409"/>
      <c r="Q27" s="140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2" t="s">
        <v>132</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5">
        <v>24</v>
      </c>
      <c r="H128" s="1285"/>
      <c r="I128" s="41" t="s">
        <v>441</v>
      </c>
      <c r="J128" s="41"/>
      <c r="L128" s="1404" t="s">
        <v>2523</v>
      </c>
      <c r="M128" s="1405"/>
      <c r="N128" s="1405"/>
      <c r="O128" s="41" t="s">
        <v>2356</v>
      </c>
      <c r="P128" s="41"/>
      <c r="Q128" s="41"/>
      <c r="R128" s="41"/>
      <c r="S128" s="41"/>
      <c r="T128" s="41"/>
      <c r="U128" s="41"/>
      <c r="V128" s="41"/>
      <c r="W128" s="41"/>
      <c r="X128" s="41" t="s">
        <v>443</v>
      </c>
      <c r="Y128" s="412"/>
      <c r="Z128" s="412"/>
      <c r="AA128" s="412"/>
      <c r="AB128" s="412"/>
      <c r="AC128" s="412"/>
      <c r="AD128" s="412"/>
      <c r="AE128" s="412"/>
      <c r="AF128" s="412"/>
      <c r="AG128" s="412"/>
      <c r="AH128" s="412"/>
      <c r="AI128" s="412"/>
      <c r="AJ128" s="412"/>
      <c r="AK128" s="412"/>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4" t="s">
        <v>2524</v>
      </c>
      <c r="D130" s="1405"/>
      <c r="E130" s="1405"/>
      <c r="F130" s="1405"/>
      <c r="G130" s="1405"/>
      <c r="H130" s="1405"/>
      <c r="I130" s="1405"/>
      <c r="J130" s="1405"/>
      <c r="K130" s="1405"/>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1" t="s">
        <v>2364</v>
      </c>
      <c r="Z131" s="1401"/>
      <c r="AA131" s="1401"/>
      <c r="AB131" s="1401"/>
      <c r="AC131" s="1401"/>
      <c r="AD131" s="1401"/>
      <c r="AE131" s="1401"/>
      <c r="AF131" s="1401"/>
      <c r="AG131" s="1401"/>
      <c r="AH131" s="1401"/>
      <c r="AI131" s="1401"/>
      <c r="AJ131" s="1401"/>
      <c r="AK131" s="140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1" t="s">
        <v>2525</v>
      </c>
      <c r="Z134" s="1401"/>
      <c r="AA134" s="1401"/>
      <c r="AB134" s="1401"/>
      <c r="AC134" s="1401"/>
      <c r="AD134" s="1401"/>
      <c r="AE134" s="1401"/>
      <c r="AF134" s="1401"/>
      <c r="AG134" s="1401"/>
      <c r="AH134" s="1401"/>
      <c r="AI134" s="1401"/>
      <c r="AJ134" s="1401"/>
      <c r="AK134" s="140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1"/>
    </row>
    <row r="136" spans="1:56" ht="12.95" customHeight="1">
      <c r="A136" s="501"/>
      <c r="B136" s="5"/>
      <c r="AL136" s="501"/>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51" t="s">
        <v>2457</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84</v>
      </c>
    </row>
    <row r="157" spans="1:72" ht="12.95" customHeight="1">
      <c r="D157" s="340" t="s">
        <v>574</v>
      </c>
      <c r="O157" s="1490" t="s">
        <v>2458</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451</v>
      </c>
      <c r="BT157" t="s">
        <v>31</v>
      </c>
    </row>
    <row r="158" spans="1:72" ht="12.95" customHeight="1">
      <c r="D158" s="12" t="s">
        <v>575</v>
      </c>
      <c r="F158" s="12"/>
      <c r="G158" s="12"/>
      <c r="H158" s="12"/>
      <c r="I158" s="12"/>
      <c r="J158" s="12"/>
      <c r="K158" s="12"/>
      <c r="L158" s="12"/>
      <c r="M158" s="12"/>
      <c r="N158" s="12"/>
      <c r="O158" s="1488" t="s">
        <v>2459</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452</v>
      </c>
      <c r="BT158" t="s">
        <v>32</v>
      </c>
    </row>
    <row r="159" spans="1:72" ht="12.95" customHeight="1">
      <c r="D159" t="s">
        <v>682</v>
      </c>
      <c r="O159" s="1233" t="s">
        <v>2460</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683</v>
      </c>
      <c r="O160" s="1351" t="s">
        <v>429</v>
      </c>
      <c r="P160" s="1401"/>
      <c r="Q160" s="1401"/>
      <c r="R160" s="1401"/>
      <c r="S160" s="1401"/>
      <c r="T160" s="1401"/>
      <c r="U160" s="1401"/>
      <c r="V160" s="1401"/>
      <c r="W160" s="1401"/>
      <c r="X160" s="1401"/>
      <c r="Y160" s="12"/>
      <c r="Z160" s="12"/>
      <c r="AA160" s="12"/>
      <c r="AB160" s="12"/>
      <c r="AC160" s="12"/>
      <c r="AD160" s="12"/>
      <c r="AE160" s="12"/>
      <c r="AF160" s="12"/>
      <c r="BN160" s="30" t="s">
        <v>80</v>
      </c>
      <c r="BT160" t="s">
        <v>414</v>
      </c>
    </row>
    <row r="161" spans="1:72" ht="12.95" customHeight="1">
      <c r="D161" t="s">
        <v>684</v>
      </c>
      <c r="O161" s="1493">
        <v>90017</v>
      </c>
      <c r="P161" s="1493"/>
      <c r="Q161" s="1493"/>
      <c r="R161" s="1493"/>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495" t="s">
        <v>2461</v>
      </c>
      <c r="P162" s="1495"/>
      <c r="Q162" s="1495"/>
      <c r="R162" s="1495"/>
      <c r="S162" s="1495"/>
      <c r="T162" s="1495"/>
      <c r="V162" s="179" t="s">
        <v>12</v>
      </c>
      <c r="W162" s="1494"/>
      <c r="X162" s="1494"/>
      <c r="Y162" s="14"/>
      <c r="Z162" s="14"/>
      <c r="AA162" s="14"/>
      <c r="AB162" s="14"/>
      <c r="AC162" s="14"/>
      <c r="AD162" s="14"/>
      <c r="AE162" s="14"/>
      <c r="AF162" s="14"/>
      <c r="BJ162" t="s">
        <v>116</v>
      </c>
      <c r="BN162" s="30" t="s">
        <v>82</v>
      </c>
      <c r="BT162" t="s">
        <v>416</v>
      </c>
    </row>
    <row r="163" spans="1:72" ht="12.95" customHeight="1">
      <c r="D163" t="s">
        <v>686</v>
      </c>
      <c r="O163" s="1495" t="s">
        <v>2462</v>
      </c>
      <c r="P163" s="1495"/>
      <c r="Q163" s="1495"/>
      <c r="R163" s="1495"/>
      <c r="S163" s="1495"/>
      <c r="T163" s="1495"/>
      <c r="U163" s="14"/>
      <c r="V163" s="14"/>
      <c r="W163" s="14"/>
      <c r="X163" s="14"/>
      <c r="Y163" s="14"/>
      <c r="Z163" s="14"/>
      <c r="AA163" s="14"/>
      <c r="AB163" s="14"/>
      <c r="AC163" s="14"/>
      <c r="AD163" s="14"/>
      <c r="AE163" s="14"/>
      <c r="AF163" s="14"/>
      <c r="BN163" s="30" t="s">
        <v>505</v>
      </c>
      <c r="BT163" t="s">
        <v>417</v>
      </c>
    </row>
    <row r="164" spans="1:72" ht="12.95" customHeight="1">
      <c r="D164" t="s">
        <v>687</v>
      </c>
      <c r="O164" s="1484" t="s">
        <v>2463</v>
      </c>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2" t="s">
        <v>2018</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2" t="s">
        <v>404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515</v>
      </c>
      <c r="BT169" t="s">
        <v>423</v>
      </c>
    </row>
    <row r="170" spans="1:72" ht="12.95"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52" t="s">
        <v>536</v>
      </c>
      <c r="K173" s="1352"/>
      <c r="L173" s="1352"/>
      <c r="M173" s="1352"/>
      <c r="N173" s="1352"/>
      <c r="O173" s="1352"/>
      <c r="P173" s="1352"/>
      <c r="Q173" s="1352"/>
      <c r="R173" s="1352"/>
      <c r="S173" s="1352"/>
      <c r="U173" s="32"/>
      <c r="X173" s="32"/>
      <c r="BN173" s="30" t="s">
        <v>520</v>
      </c>
      <c r="BT173" t="s">
        <v>427</v>
      </c>
    </row>
    <row r="174" spans="1:72" ht="12.95" customHeight="1">
      <c r="C174" s="31"/>
      <c r="D174" t="s">
        <v>467</v>
      </c>
      <c r="U174" s="1232" t="s">
        <v>511</v>
      </c>
      <c r="V174" s="1232"/>
      <c r="BN174" s="30" t="s">
        <v>629</v>
      </c>
      <c r="BT174" t="s">
        <v>428</v>
      </c>
    </row>
    <row r="175" spans="1:72" ht="12.95" customHeight="1">
      <c r="C175" s="12"/>
      <c r="D175" s="33"/>
      <c r="E175" t="s">
        <v>245</v>
      </c>
      <c r="O175" s="34"/>
      <c r="P175" t="s">
        <v>2228</v>
      </c>
      <c r="T175" s="34" t="s">
        <v>246</v>
      </c>
      <c r="U175" s="1271"/>
      <c r="V175" s="1271"/>
      <c r="W175" s="1" t="s">
        <v>247</v>
      </c>
      <c r="X175" s="1491"/>
      <c r="Y175" s="1491"/>
      <c r="BN175" s="30" t="s">
        <v>630</v>
      </c>
      <c r="BT175" t="s">
        <v>429</v>
      </c>
    </row>
    <row r="176" spans="1:72" ht="12.95" customHeight="1">
      <c r="C176" s="31"/>
      <c r="D176" t="s">
        <v>294</v>
      </c>
      <c r="U176" s="1232" t="s">
        <v>511</v>
      </c>
      <c r="V176" s="1232"/>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58" t="s">
        <v>246</v>
      </c>
      <c r="J178" s="1414"/>
      <c r="K178" s="1414"/>
      <c r="L178" s="374" t="s">
        <v>247</v>
      </c>
      <c r="M178" s="1415"/>
      <c r="N178" s="1415"/>
      <c r="O178" s="365"/>
      <c r="P178" s="365"/>
      <c r="Q178" s="365"/>
      <c r="R178" s="365"/>
      <c r="U178" s="365" t="s">
        <v>1285</v>
      </c>
      <c r="V178" s="365"/>
      <c r="W178" s="365"/>
      <c r="X178" s="365"/>
      <c r="Y178" s="365"/>
      <c r="Z178" s="365"/>
      <c r="AA178" s="365"/>
      <c r="AB178" s="365"/>
      <c r="AD178" s="1416"/>
      <c r="AE178" s="1416"/>
      <c r="AF178" s="1416"/>
      <c r="AG178" s="1416"/>
      <c r="AH178" s="1416"/>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232" t="s">
        <v>511</v>
      </c>
      <c r="Z180" s="1464"/>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189" t="str">
        <f>H17</f>
        <v>LAAC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438</v>
      </c>
    </row>
    <row r="185" spans="1:72" ht="12.95" customHeight="1">
      <c r="C185" s="29"/>
      <c r="D185" t="s">
        <v>458</v>
      </c>
      <c r="I185" s="1235" t="s">
        <v>2469</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605</v>
      </c>
      <c r="BT185" t="s">
        <v>879</v>
      </c>
    </row>
    <row r="186" spans="1:72" ht="12.95" customHeight="1">
      <c r="C186" s="29"/>
      <c r="E186" t="s">
        <v>66</v>
      </c>
      <c r="BN186" s="30" t="s">
        <v>606</v>
      </c>
      <c r="BT186" t="s">
        <v>880</v>
      </c>
    </row>
    <row r="187" spans="1:72" ht="12.95" customHeight="1">
      <c r="C187" s="29"/>
      <c r="E187" s="1360" t="s">
        <v>2470</v>
      </c>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607</v>
      </c>
      <c r="BT187" t="s">
        <v>881</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609</v>
      </c>
      <c r="BT188" t="s">
        <v>882</v>
      </c>
    </row>
    <row r="189" spans="1:72" ht="12.95" customHeight="1">
      <c r="C189" s="29"/>
      <c r="D189" t="s">
        <v>459</v>
      </c>
      <c r="I189" s="1233" t="s">
        <v>429</v>
      </c>
      <c r="J189" s="1233"/>
      <c r="K189" s="1233"/>
      <c r="L189" s="1233"/>
      <c r="M189" s="1233"/>
      <c r="N189" s="1233"/>
      <c r="O189" s="1233"/>
      <c r="P189" s="1233"/>
      <c r="Q189" t="s">
        <v>461</v>
      </c>
      <c r="T189" s="1233" t="s">
        <v>429</v>
      </c>
      <c r="U189" s="1233"/>
      <c r="V189" s="1233"/>
      <c r="W189" s="1233"/>
      <c r="X189" s="1233"/>
      <c r="Y189" s="1233"/>
      <c r="Z189" s="1233"/>
      <c r="AA189" s="1233"/>
      <c r="AB189" s="1233"/>
      <c r="AC189" s="1233"/>
      <c r="AD189" s="1233"/>
      <c r="AE189" s="1233"/>
      <c r="BC189" t="s">
        <v>84</v>
      </c>
      <c r="BH189" s="41" t="s">
        <v>132</v>
      </c>
      <c r="BN189" s="30" t="s">
        <v>610</v>
      </c>
      <c r="BT189" t="s">
        <v>117</v>
      </c>
    </row>
    <row r="190" spans="1:72" ht="12.95" customHeight="1">
      <c r="C190" s="29"/>
      <c r="D190" t="s">
        <v>462</v>
      </c>
      <c r="I190" s="1235">
        <v>90037</v>
      </c>
      <c r="J190" s="1235"/>
      <c r="K190" s="1235"/>
      <c r="L190" s="1235"/>
      <c r="M190" s="1235"/>
      <c r="N190" s="1235"/>
      <c r="O190" t="s">
        <v>464</v>
      </c>
      <c r="T190" s="1496" t="s">
        <v>2471</v>
      </c>
      <c r="U190" s="1496"/>
      <c r="V190" s="1496"/>
      <c r="W190" s="1496"/>
      <c r="X190" s="1496"/>
      <c r="Y190" s="1496"/>
      <c r="Z190" s="1496"/>
      <c r="AA190" s="1496"/>
      <c r="AB190" s="1496"/>
      <c r="AC190" s="1496"/>
      <c r="AD190" s="1496"/>
      <c r="AE190" s="1496"/>
      <c r="BC190" t="s">
        <v>698</v>
      </c>
      <c r="BH190" t="s">
        <v>698</v>
      </c>
      <c r="BN190" s="30" t="s">
        <v>450</v>
      </c>
      <c r="BT190" t="s">
        <v>118</v>
      </c>
    </row>
    <row r="191" spans="1:72" ht="12.95" customHeight="1">
      <c r="C191" s="29"/>
      <c r="D191" t="s">
        <v>89</v>
      </c>
      <c r="N191" s="1360" t="s">
        <v>2472</v>
      </c>
      <c r="O191" s="1360"/>
      <c r="P191" s="1360"/>
      <c r="Q191" s="1360"/>
      <c r="R191" s="1360"/>
      <c r="S191" s="1360"/>
      <c r="T191" s="1360"/>
      <c r="U191" s="1360"/>
      <c r="V191" s="1360"/>
      <c r="W191" s="1360"/>
      <c r="X191" s="1360"/>
      <c r="Y191" s="1360"/>
      <c r="Z191" s="1360"/>
      <c r="AA191" s="1360"/>
      <c r="AB191" s="1360"/>
      <c r="AC191" s="1360"/>
      <c r="AD191" s="1360"/>
      <c r="AE191" s="1360"/>
      <c r="BC191" t="s">
        <v>1487</v>
      </c>
      <c r="BH191" t="s">
        <v>1487</v>
      </c>
      <c r="BN191" s="30" t="s">
        <v>612</v>
      </c>
      <c r="BT191" t="s">
        <v>119</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699</v>
      </c>
      <c r="BH192" s="5" t="s">
        <v>1494</v>
      </c>
      <c r="BN192" s="30" t="s">
        <v>613</v>
      </c>
      <c r="BT192" t="s">
        <v>120</v>
      </c>
    </row>
    <row r="193" spans="1:73" ht="12.95" customHeight="1">
      <c r="C193" s="29"/>
      <c r="D193" t="s">
        <v>465</v>
      </c>
      <c r="T193" s="1232" t="s">
        <v>511</v>
      </c>
      <c r="U193" s="1232"/>
      <c r="W193" s="41" t="s">
        <v>1981</v>
      </c>
      <c r="AA193" s="1500">
        <v>2023</v>
      </c>
      <c r="AB193" s="1500"/>
      <c r="AC193" s="1500"/>
      <c r="BC193" t="s">
        <v>594</v>
      </c>
      <c r="BH193" s="5" t="s">
        <v>1495</v>
      </c>
      <c r="BN193" s="30" t="s">
        <v>614</v>
      </c>
      <c r="BT193" t="s">
        <v>121</v>
      </c>
    </row>
    <row r="194" spans="1:73" ht="12.95" customHeight="1">
      <c r="C194" s="29"/>
      <c r="D194" t="s">
        <v>126</v>
      </c>
      <c r="T194" s="1147" t="s">
        <v>116</v>
      </c>
      <c r="U194" s="1147"/>
      <c r="W194" t="s">
        <v>67</v>
      </c>
      <c r="AI194" s="1232" t="s">
        <v>116</v>
      </c>
      <c r="AJ194" s="1232"/>
      <c r="AX194" s="5" t="s">
        <v>132</v>
      </c>
      <c r="BC194" t="s">
        <v>650</v>
      </c>
      <c r="BN194" s="30" t="s">
        <v>789</v>
      </c>
      <c r="BT194" t="s">
        <v>122</v>
      </c>
    </row>
    <row r="195" spans="1:73" ht="12.95" customHeight="1">
      <c r="C195" s="29"/>
      <c r="D195" s="41" t="s">
        <v>1810</v>
      </c>
      <c r="T195" s="1147" t="s">
        <v>116</v>
      </c>
      <c r="U195" s="1147"/>
      <c r="X195" s="815" t="s">
        <v>2230</v>
      </c>
      <c r="AX195" s="5" t="s">
        <v>1197</v>
      </c>
      <c r="BN195" s="30" t="s">
        <v>790</v>
      </c>
      <c r="BT195" t="s">
        <v>123</v>
      </c>
    </row>
    <row r="196" spans="1:73" ht="12.95" customHeight="1">
      <c r="C196" s="29"/>
      <c r="D196" s="5" t="s">
        <v>1202</v>
      </c>
      <c r="T196" s="1147" t="s">
        <v>511</v>
      </c>
      <c r="U196" s="1147"/>
      <c r="AK196" s="1499"/>
      <c r="AL196" s="1499"/>
      <c r="AX196" s="41" t="s">
        <v>2329</v>
      </c>
      <c r="BN196" s="30" t="s">
        <v>791</v>
      </c>
      <c r="BT196" t="s">
        <v>124</v>
      </c>
    </row>
    <row r="197" spans="1:73" ht="12.95" customHeight="1">
      <c r="C197" s="29"/>
      <c r="D197" s="41" t="s">
        <v>1982</v>
      </c>
      <c r="T197" s="1232" t="s">
        <v>511</v>
      </c>
      <c r="U197" s="1232"/>
      <c r="AX197" s="5" t="s">
        <v>1198</v>
      </c>
      <c r="BC197" t="s">
        <v>84</v>
      </c>
      <c r="BN197" s="30" t="s">
        <v>792</v>
      </c>
      <c r="BT197" t="s">
        <v>125</v>
      </c>
    </row>
    <row r="198" spans="1:73" ht="12.95" customHeight="1">
      <c r="C198" s="29"/>
      <c r="D198" s="41" t="s">
        <v>2010</v>
      </c>
      <c r="W198" s="1382" t="s">
        <v>511</v>
      </c>
      <c r="X198" s="1232"/>
      <c r="AX198" s="5" t="s">
        <v>1199</v>
      </c>
      <c r="BC198" t="s">
        <v>1149</v>
      </c>
      <c r="BN198" s="30" t="s">
        <v>793</v>
      </c>
      <c r="BT198" t="s">
        <v>843</v>
      </c>
    </row>
    <row r="199" spans="1:73" ht="12.95" customHeight="1">
      <c r="C199" s="29"/>
      <c r="L199" s="310"/>
      <c r="M199" s="310"/>
      <c r="N199" s="310"/>
      <c r="O199" s="310"/>
      <c r="P199" s="310"/>
      <c r="Q199" s="940" t="s">
        <v>2231</v>
      </c>
      <c r="R199" s="1351" t="s">
        <v>2123</v>
      </c>
      <c r="S199" s="1351"/>
      <c r="T199" s="1351"/>
      <c r="U199" s="1351"/>
      <c r="V199" s="1351"/>
      <c r="W199" s="1351"/>
      <c r="X199" s="1351"/>
      <c r="Y199" s="1351"/>
      <c r="Z199" s="1351"/>
      <c r="AA199" s="1351"/>
      <c r="AB199" s="1351"/>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3"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89" t="str">
        <f>IF(AND(M25&gt;0,M27&gt;0),"Federal and State","Federal Only")</f>
        <v>Federal and State</v>
      </c>
      <c r="E203" s="1189"/>
      <c r="F203" s="1189"/>
      <c r="G203" s="1189"/>
      <c r="H203" s="1189"/>
      <c r="I203" s="1189"/>
      <c r="J203" s="1189"/>
      <c r="K203" s="1189"/>
      <c r="L203" s="1189"/>
      <c r="M203" s="1189"/>
      <c r="P203" s="1398">
        <f>M25</f>
        <v>2500000</v>
      </c>
      <c r="Q203" s="1398"/>
      <c r="R203" s="1398"/>
      <c r="S203" s="1398"/>
      <c r="T203" s="1398"/>
      <c r="U203" s="1398"/>
      <c r="W203" s="1398">
        <f>M27</f>
        <v>3008597</v>
      </c>
      <c r="X203" s="1398"/>
      <c r="Y203" s="1398"/>
      <c r="Z203" s="1398"/>
      <c r="AA203" s="1398"/>
      <c r="AB203" s="1398"/>
      <c r="AV203" t="s">
        <v>132</v>
      </c>
      <c r="AX203" s="5" t="s">
        <v>699</v>
      </c>
      <c r="BC203" t="s">
        <v>1500</v>
      </c>
      <c r="BN203" s="30" t="s">
        <v>696</v>
      </c>
      <c r="BT203" s="40" t="s">
        <v>848</v>
      </c>
      <c r="BU203" s="21"/>
    </row>
    <row r="204" spans="1:73" ht="12.95" customHeight="1">
      <c r="C204" s="29"/>
      <c r="P204" s="1411" t="s">
        <v>186</v>
      </c>
      <c r="Q204" s="1411"/>
      <c r="R204" s="1411"/>
      <c r="S204" s="1411"/>
      <c r="T204" s="1411"/>
      <c r="U204" s="1411"/>
      <c r="V204" s="36"/>
      <c r="W204" s="1411" t="s">
        <v>187</v>
      </c>
      <c r="X204" s="1411"/>
      <c r="Y204" s="1411"/>
      <c r="Z204" s="1411"/>
      <c r="AA204" s="1411"/>
      <c r="AB204" s="1411"/>
      <c r="AV204" t="s">
        <v>116</v>
      </c>
      <c r="AX204" s="5" t="s">
        <v>1438</v>
      </c>
      <c r="BC204" t="s">
        <v>900</v>
      </c>
      <c r="BN204" s="30" t="s">
        <v>697</v>
      </c>
      <c r="BT204" s="40" t="s">
        <v>849</v>
      </c>
      <c r="BU204" s="21"/>
    </row>
    <row r="205" spans="1:73" ht="12.95" customHeight="1" thickBot="1">
      <c r="D205" s="476"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18"/>
      <c r="Y206" s="819"/>
      <c r="Z206" s="819"/>
      <c r="AA206" s="819"/>
      <c r="AB206" s="819"/>
      <c r="AC206" s="819"/>
      <c r="AD206" s="819"/>
      <c r="AE206" s="819"/>
      <c r="AF206" s="819"/>
      <c r="AG206" s="819"/>
      <c r="AH206" s="819"/>
      <c r="AI206" s="819"/>
      <c r="AJ206" s="819"/>
      <c r="AK206" s="820"/>
      <c r="AX206" t="s">
        <v>84</v>
      </c>
      <c r="BC206" s="180" t="s">
        <v>1503</v>
      </c>
      <c r="BN206" s="30" t="s">
        <v>941</v>
      </c>
      <c r="BT206" s="40" t="s">
        <v>850</v>
      </c>
    </row>
    <row r="207" spans="1:73" ht="12.95" customHeight="1">
      <c r="A207" s="3" t="s">
        <v>130</v>
      </c>
      <c r="C207" s="3" t="s">
        <v>842</v>
      </c>
      <c r="X207" s="821"/>
      <c r="Y207" s="932"/>
      <c r="Z207" s="822"/>
      <c r="AA207" s="822"/>
      <c r="AB207" s="822"/>
      <c r="AC207" s="822"/>
      <c r="AD207" s="822"/>
      <c r="AE207" s="822"/>
      <c r="AF207" s="822"/>
      <c r="AG207" s="822"/>
      <c r="AH207" s="822"/>
      <c r="AI207" s="822"/>
      <c r="AJ207" s="822"/>
      <c r="AK207" s="823"/>
      <c r="AX207" t="s">
        <v>2118</v>
      </c>
      <c r="BC207" t="s">
        <v>1833</v>
      </c>
      <c r="BN207" s="30" t="s">
        <v>1</v>
      </c>
      <c r="BT207" s="40" t="s">
        <v>851</v>
      </c>
    </row>
    <row r="208" spans="1:73" ht="12.95" customHeight="1">
      <c r="C208" s="29"/>
      <c r="D208" s="1401" t="s">
        <v>2360</v>
      </c>
      <c r="E208" s="1401"/>
      <c r="F208" s="1401"/>
      <c r="G208" s="1401"/>
      <c r="H208" s="1401"/>
      <c r="I208" s="1401"/>
      <c r="J208" s="1401"/>
      <c r="K208" s="1401"/>
      <c r="L208" s="1401"/>
      <c r="M208" s="1401"/>
      <c r="X208" s="821"/>
      <c r="Y208" s="933"/>
      <c r="Z208" s="822"/>
      <c r="AA208" s="822"/>
      <c r="AB208" s="822"/>
      <c r="AC208" s="822"/>
      <c r="AD208" s="822"/>
      <c r="AE208" s="822"/>
      <c r="AF208" s="822"/>
      <c r="AG208" s="822"/>
      <c r="AH208" s="822"/>
      <c r="AI208" s="822"/>
      <c r="AJ208" s="822"/>
      <c r="AK208" s="823"/>
      <c r="AX208" t="s">
        <v>2119</v>
      </c>
      <c r="BC208" t="s">
        <v>1501</v>
      </c>
      <c r="BN208" s="30" t="s">
        <v>2</v>
      </c>
      <c r="BT208" s="40" t="s">
        <v>852</v>
      </c>
    </row>
    <row r="209" spans="1:72" ht="12.95" customHeight="1">
      <c r="C209" s="12"/>
      <c r="X209" s="821"/>
      <c r="Y209" s="933"/>
      <c r="Z209" s="822"/>
      <c r="AA209" s="822"/>
      <c r="AB209" s="822"/>
      <c r="AC209" s="822"/>
      <c r="AD209" s="822"/>
      <c r="AE209" s="822"/>
      <c r="AF209" s="822"/>
      <c r="AG209" s="822"/>
      <c r="AH209" s="822"/>
      <c r="AI209" s="822"/>
      <c r="AJ209" s="822"/>
      <c r="AK209" s="823"/>
      <c r="AX209" t="s">
        <v>2120</v>
      </c>
      <c r="BC209" t="s">
        <v>79</v>
      </c>
      <c r="BN209" s="30" t="s">
        <v>3</v>
      </c>
      <c r="BT209" s="40" t="s">
        <v>853</v>
      </c>
    </row>
    <row r="210" spans="1:72" ht="12.95" customHeight="1">
      <c r="A210" s="3" t="s">
        <v>131</v>
      </c>
      <c r="C210" s="3" t="s">
        <v>1195</v>
      </c>
      <c r="X210" s="821"/>
      <c r="Y210" s="933"/>
      <c r="Z210" s="822"/>
      <c r="AA210" s="822"/>
      <c r="AB210" s="822"/>
      <c r="AC210" s="822"/>
      <c r="AD210" s="822"/>
      <c r="AE210" s="822"/>
      <c r="AF210" s="822"/>
      <c r="AG210" s="822"/>
      <c r="AH210" s="822"/>
      <c r="AI210" s="822"/>
      <c r="AJ210" s="822"/>
      <c r="AK210" s="823"/>
      <c r="AX210" t="s">
        <v>2121</v>
      </c>
      <c r="BN210" s="30" t="s">
        <v>4</v>
      </c>
      <c r="BT210" s="40" t="s">
        <v>854</v>
      </c>
    </row>
    <row r="211" spans="1:72" ht="12.95" customHeight="1">
      <c r="C211" s="29"/>
      <c r="D211" s="1401" t="s">
        <v>594</v>
      </c>
      <c r="E211" s="1401"/>
      <c r="F211" s="1401"/>
      <c r="G211" s="1401"/>
      <c r="H211" s="1401"/>
      <c r="I211" s="1401"/>
      <c r="J211" s="1401"/>
      <c r="K211" s="1401"/>
      <c r="L211" s="1401"/>
      <c r="M211" s="1401"/>
      <c r="N211" s="1401"/>
      <c r="O211" s="1401"/>
      <c r="P211" s="1401"/>
      <c r="X211" s="821"/>
      <c r="Y211" s="1497" t="s">
        <v>511</v>
      </c>
      <c r="Z211" s="1497"/>
      <c r="AA211" s="822"/>
      <c r="AB211" s="822"/>
      <c r="AC211" s="822"/>
      <c r="AD211" s="822"/>
      <c r="AE211" s="822"/>
      <c r="AF211" s="822"/>
      <c r="AG211" s="822"/>
      <c r="AH211" s="822"/>
      <c r="AI211" s="822"/>
      <c r="AJ211" s="822"/>
      <c r="AK211" s="823"/>
      <c r="AX211" t="s">
        <v>2122</v>
      </c>
      <c r="BN211" s="30" t="s">
        <v>21</v>
      </c>
      <c r="BT211" s="40" t="s">
        <v>22</v>
      </c>
    </row>
    <row r="212" spans="1:72" ht="12.95" customHeight="1" thickBot="1">
      <c r="X212" s="826"/>
      <c r="Y212" s="824"/>
      <c r="Z212" s="824"/>
      <c r="AA212" s="824"/>
      <c r="AB212" s="824"/>
      <c r="AC212" s="824"/>
      <c r="AD212" s="824"/>
      <c r="AE212" s="824"/>
      <c r="AF212" s="824"/>
      <c r="AG212" s="824"/>
      <c r="AH212" s="824"/>
      <c r="AI212" s="824"/>
      <c r="AJ212" s="824"/>
      <c r="AK212" s="825"/>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401" t="s">
        <v>594</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BC214" t="s">
        <v>665</v>
      </c>
      <c r="BN214" s="30" t="s">
        <v>472</v>
      </c>
      <c r="BT214" s="40" t="s">
        <v>857</v>
      </c>
    </row>
    <row r="215" spans="1:72" ht="12.95" customHeight="1">
      <c r="D215" s="35"/>
      <c r="E215" s="41" t="s">
        <v>2207</v>
      </c>
      <c r="AC215" s="1501"/>
      <c r="AD215" s="1501"/>
      <c r="AF215" s="1417">
        <f>IFERROR(AC215/AG433,"")</f>
        <v>0</v>
      </c>
      <c r="AG215" s="1417"/>
      <c r="BC215" t="s">
        <v>662</v>
      </c>
    </row>
    <row r="216" spans="1:72" ht="12.95" customHeight="1">
      <c r="D216" s="35"/>
      <c r="E216" s="956" t="s">
        <v>1498</v>
      </c>
      <c r="BC216" t="s">
        <v>779</v>
      </c>
    </row>
    <row r="217" spans="1:72" ht="12.95" customHeight="1">
      <c r="E217" s="1408" t="s">
        <v>132</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663</v>
      </c>
    </row>
    <row r="218" spans="1:72" ht="12.95" customHeight="1">
      <c r="E218" s="41" t="s">
        <v>2058</v>
      </c>
      <c r="AA218" s="49"/>
      <c r="AC218" s="1368"/>
      <c r="AD218" s="1368"/>
      <c r="AE218" s="1368"/>
      <c r="AF218" s="1368"/>
      <c r="AG218" s="1368"/>
      <c r="AH218" s="1368"/>
      <c r="AI218" s="1368"/>
      <c r="AJ218" s="1368"/>
      <c r="AK218" s="1368"/>
      <c r="AL218" s="1368"/>
      <c r="AM218" s="1368"/>
      <c r="BC218" t="s">
        <v>664</v>
      </c>
      <c r="BI218" s="39"/>
    </row>
    <row r="219" spans="1:72" ht="12.95" customHeight="1">
      <c r="E219" s="41" t="s">
        <v>2059</v>
      </c>
      <c r="AA219" s="49"/>
      <c r="AC219" s="1498">
        <v>45505</v>
      </c>
      <c r="AD219" s="1368"/>
      <c r="AE219" s="1368"/>
      <c r="AF219" s="1368"/>
      <c r="AG219" s="1368"/>
      <c r="AH219" s="1368"/>
      <c r="AI219" s="1368"/>
      <c r="AJ219" s="1368"/>
      <c r="AK219" s="1368"/>
      <c r="AL219" s="1368"/>
      <c r="AM219" s="136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1" t="s">
        <v>1149</v>
      </c>
      <c r="E223" s="1351"/>
      <c r="F223" s="1351"/>
      <c r="G223" s="1351"/>
      <c r="H223" s="1351"/>
      <c r="I223" s="1351"/>
      <c r="J223" s="1351"/>
      <c r="K223" s="1351"/>
      <c r="L223" s="1351"/>
      <c r="M223" s="1351"/>
      <c r="N223" s="1351"/>
      <c r="O223" s="1351"/>
      <c r="P223" s="1351"/>
      <c r="Q223" s="1351"/>
      <c r="R223" s="1351"/>
      <c r="S223" s="1351"/>
      <c r="T223" s="1351"/>
      <c r="U223" s="1351"/>
      <c r="V223" s="1351"/>
      <c r="W223" s="1351"/>
      <c r="X223" s="1351"/>
      <c r="Y223" s="1351"/>
      <c r="Z223" s="1351"/>
      <c r="AA223" s="1351"/>
      <c r="AB223" s="1351"/>
      <c r="AC223" s="1351"/>
      <c r="AD223" s="1351"/>
      <c r="AE223" s="1351"/>
      <c r="AF223" s="1351"/>
      <c r="AG223" s="1351"/>
      <c r="AH223" s="1351"/>
      <c r="AI223" s="1351"/>
      <c r="AJ223" s="21"/>
      <c r="AK223" s="21"/>
      <c r="AL223" s="21"/>
    </row>
    <row r="224" spans="1:72" ht="12.95" customHeight="1">
      <c r="AJ224" s="5"/>
    </row>
    <row r="225" spans="1:59" ht="12.95" customHeight="1">
      <c r="D225" t="s">
        <v>587</v>
      </c>
      <c r="O225" s="1232">
        <v>37</v>
      </c>
      <c r="P225" s="1232"/>
    </row>
    <row r="226" spans="1:59" ht="12.95" customHeight="1">
      <c r="D226" t="s">
        <v>588</v>
      </c>
      <c r="O226" s="1232">
        <v>57</v>
      </c>
      <c r="P226" s="1232"/>
      <c r="BB226" s="5" t="s">
        <v>673</v>
      </c>
      <c r="BG226" s="412">
        <f>IF(AND(AND($M$251="for profit",$M$259="for profit",$M$267="nonprofit")),2,0)</f>
        <v>0</v>
      </c>
    </row>
    <row r="227" spans="1:59" ht="12.95" customHeight="1">
      <c r="D227" t="s">
        <v>589</v>
      </c>
      <c r="O227" s="1232">
        <v>28</v>
      </c>
      <c r="P227" s="1232"/>
      <c r="BB227" s="5" t="s">
        <v>673</v>
      </c>
      <c r="BG227" s="412">
        <f>IF(AND(AND($M$251="for profit",$M$259="nonprofit",$M$267="for profit")),2,0)</f>
        <v>0</v>
      </c>
    </row>
    <row r="228" spans="1:59" ht="12.95" customHeight="1">
      <c r="D228" t="s">
        <v>590</v>
      </c>
      <c r="BB228" t="s">
        <v>673</v>
      </c>
      <c r="BG228" s="412">
        <f>IF(AND(AND($M$251="nonprofit",$M$259="for profit",$M$267="for profit")),2,0)</f>
        <v>0</v>
      </c>
    </row>
    <row r="229" spans="1:59" ht="12.95" customHeight="1">
      <c r="D229" s="364" t="s">
        <v>1228</v>
      </c>
      <c r="U229" s="364" t="s">
        <v>1229</v>
      </c>
      <c r="BB229" t="s">
        <v>673</v>
      </c>
      <c r="BG229" s="412">
        <f>IF(AND(AND($M$251="for profit",$M$259="nonprofit",$M$267="(select one)")),2,0)</f>
        <v>0</v>
      </c>
    </row>
    <row r="230" spans="1:59" ht="12.95" customHeight="1">
      <c r="BB230" t="s">
        <v>673</v>
      </c>
      <c r="BG230" s="413">
        <f>IF(AND(AND($M$251="nonprofit",$M$259="for profit",$M$267="(select one)")),2,0)</f>
        <v>2</v>
      </c>
    </row>
    <row r="231" spans="1:59" ht="12.95" customHeight="1">
      <c r="A231" s="1412" t="s">
        <v>524</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2.95"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410" t="str">
        <f>H15</f>
        <v>LAAC, LP</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5" customHeight="1">
      <c r="D236" s="5" t="s">
        <v>397</v>
      </c>
      <c r="E236" s="5"/>
      <c r="F236" s="5"/>
      <c r="G236" s="5"/>
      <c r="H236" s="5"/>
      <c r="I236" s="5"/>
      <c r="J236" s="5"/>
      <c r="K236" s="5"/>
      <c r="M236" s="1351" t="s">
        <v>2361</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672</v>
      </c>
      <c r="BG236" s="412">
        <f>IF(AND(AND($M$251="nonprofit",$M$259="nonprofit",$M$267="nonprofit")),1,0)</f>
        <v>0</v>
      </c>
    </row>
    <row r="237" spans="1:59" ht="12.95" customHeight="1">
      <c r="D237" s="5" t="s">
        <v>459</v>
      </c>
      <c r="E237" s="5"/>
      <c r="M237" s="1351" t="s">
        <v>2362</v>
      </c>
      <c r="N237" s="1401"/>
      <c r="O237" s="1401"/>
      <c r="P237" s="1401"/>
      <c r="Q237" s="1401"/>
      <c r="R237" s="1401"/>
      <c r="S237" s="1401"/>
      <c r="T237" s="1401"/>
      <c r="V237" s="42" t="s">
        <v>398</v>
      </c>
      <c r="W237" s="1490" t="s">
        <v>2363</v>
      </c>
      <c r="X237" s="1231"/>
      <c r="Y237" s="5" t="s">
        <v>462</v>
      </c>
      <c r="AC237" s="1401">
        <v>94945</v>
      </c>
      <c r="AD237" s="1401"/>
      <c r="AE237" s="1401"/>
      <c r="AN237" s="41"/>
      <c r="BB237" t="s">
        <v>672</v>
      </c>
      <c r="BG237" s="412">
        <f>IF(AND(AND($M$251="nonprofit",$M$259="nonprofit",$M$267="(select one)")),1,0)</f>
        <v>0</v>
      </c>
    </row>
    <row r="238" spans="1:59" ht="12.95" customHeight="1">
      <c r="D238" s="5" t="s">
        <v>399</v>
      </c>
      <c r="E238" s="5"/>
      <c r="F238" s="5"/>
      <c r="G238" s="5"/>
      <c r="H238" s="5"/>
      <c r="I238" s="5"/>
      <c r="J238" s="5"/>
      <c r="K238" s="28"/>
      <c r="M238" s="1351" t="s">
        <v>2364</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672</v>
      </c>
      <c r="BG238" s="412">
        <f>IF(AND(AND($M$251="nonprofit",$M$259="(select one)",$M$267="(select one)")),1,0)</f>
        <v>0</v>
      </c>
    </row>
    <row r="239" spans="1:59" ht="12.95" customHeight="1">
      <c r="D239" s="5" t="s">
        <v>400</v>
      </c>
      <c r="E239" s="5"/>
      <c r="F239" s="5"/>
      <c r="M239" s="1380" t="s">
        <v>2365</v>
      </c>
      <c r="N239" s="1234"/>
      <c r="O239" s="1234"/>
      <c r="P239" s="1234"/>
      <c r="Q239" s="1234"/>
      <c r="R239" s="1234"/>
      <c r="S239" s="5" t="s">
        <v>858</v>
      </c>
      <c r="T239" s="5"/>
      <c r="U239" s="1231"/>
      <c r="V239" s="1231"/>
      <c r="W239" s="1231"/>
      <c r="X239" s="5" t="s">
        <v>401</v>
      </c>
      <c r="Z239" s="1234"/>
      <c r="AA239" s="1234"/>
      <c r="AB239" s="1234"/>
      <c r="AC239" s="1234"/>
      <c r="AD239" s="1234"/>
      <c r="AE239" s="1234"/>
      <c r="AM239" s="41"/>
      <c r="AN239" s="41"/>
      <c r="BB239" t="s">
        <v>1053</v>
      </c>
      <c r="BG239" s="412">
        <f>IF(AND(AND($M$251="for profit",$M$259="for profit",$M$267="for profit")),3,0)</f>
        <v>0</v>
      </c>
    </row>
    <row r="240" spans="1:59" ht="12.95" customHeight="1">
      <c r="D240" s="5" t="s">
        <v>402</v>
      </c>
      <c r="E240" s="5"/>
      <c r="F240" s="5"/>
      <c r="M240" s="1484" t="s">
        <v>2366</v>
      </c>
      <c r="N240" s="1484"/>
      <c r="O240" s="1484"/>
      <c r="P240" s="1484"/>
      <c r="Q240" s="1484"/>
      <c r="R240" s="1484"/>
      <c r="S240" s="1484"/>
      <c r="T240" s="1484"/>
      <c r="U240" s="1484"/>
      <c r="V240" s="1484"/>
      <c r="W240" s="1484"/>
      <c r="X240" s="1484"/>
      <c r="Y240" s="1484"/>
      <c r="Z240" s="1484"/>
      <c r="AA240" s="1484"/>
      <c r="AB240" s="1484"/>
      <c r="AC240" s="1484"/>
      <c r="AD240" s="1484"/>
      <c r="AE240" s="1484"/>
      <c r="AF240" s="5"/>
      <c r="AG240" s="5"/>
      <c r="AH240" s="5"/>
      <c r="AI240" s="5"/>
      <c r="AJ240" s="5"/>
      <c r="AK240" s="5"/>
      <c r="AL240" s="5"/>
      <c r="AN240" s="41"/>
      <c r="AO240" s="41"/>
      <c r="BB240" t="s">
        <v>1053</v>
      </c>
      <c r="BG240" s="413">
        <f>IF(AND(AND($M$251="for profit",$M$259="for profit",$M$267="(select one)")),3,0)</f>
        <v>0</v>
      </c>
    </row>
    <row r="241" spans="1:67" ht="12.95" customHeight="1">
      <c r="A241" s="3" t="s">
        <v>8</v>
      </c>
      <c r="C241" s="3" t="s">
        <v>660</v>
      </c>
      <c r="M241" s="1235" t="s">
        <v>663</v>
      </c>
      <c r="N241" s="1235"/>
      <c r="O241" s="1235"/>
      <c r="P241" s="1235"/>
      <c r="Q241" s="1235"/>
      <c r="R241" s="1235"/>
      <c r="S241" s="1235"/>
      <c r="T241" s="1235"/>
      <c r="U241" s="5" t="s">
        <v>1191</v>
      </c>
      <c r="AA241" s="1407"/>
      <c r="AB241" s="1407"/>
      <c r="AC241" s="1407"/>
      <c r="AD241" s="1407"/>
      <c r="AE241" s="1407"/>
      <c r="AF241" s="1407"/>
      <c r="AG241" s="1407"/>
      <c r="AH241" s="1407"/>
      <c r="AI241" s="1407"/>
      <c r="AJ241" s="1407"/>
      <c r="AK241" s="1407"/>
      <c r="AL241" s="41"/>
      <c r="AM241" s="5"/>
      <c r="AN241" s="41"/>
      <c r="AO241" s="41"/>
      <c r="BB241" t="s">
        <v>1053</v>
      </c>
      <c r="BG241" s="413">
        <f>IF(AND(AND($M$251="for profit",$M$259="(select one)",$M$267="(select one)")),3,0)</f>
        <v>0</v>
      </c>
    </row>
    <row r="242" spans="1:67" ht="12.95" customHeight="1">
      <c r="D242" t="s">
        <v>666</v>
      </c>
      <c r="M242" s="1351"/>
      <c r="N242" s="1233"/>
      <c r="O242" s="1233"/>
      <c r="P242" s="1233"/>
      <c r="Q242" s="1233"/>
      <c r="R242" s="1233"/>
      <c r="S242" s="1233"/>
      <c r="T242" s="1233"/>
      <c r="U242" s="1233"/>
      <c r="V242" s="1233"/>
      <c r="W242" s="1233"/>
      <c r="X242" s="1233"/>
      <c r="Y242" s="1233"/>
      <c r="Z242" s="1233"/>
      <c r="AA242" s="1233"/>
      <c r="AB242" s="1233"/>
      <c r="AC242" s="1233"/>
      <c r="AD242" s="1233"/>
      <c r="AE242" s="1233"/>
      <c r="AF242" s="957" t="str">
        <f>IF(AND(M241="other",M242=""),"!","")</f>
        <v/>
      </c>
      <c r="AG242" s="957"/>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400" t="s">
        <v>2510</v>
      </c>
      <c r="N245" s="1400"/>
      <c r="O245" s="1400"/>
      <c r="P245" s="1400"/>
      <c r="Q245" s="1400"/>
      <c r="R245" s="1400"/>
      <c r="S245" s="1400"/>
      <c r="T245" s="1400"/>
      <c r="U245" s="1400"/>
      <c r="V245" s="1400"/>
      <c r="W245" s="1400"/>
      <c r="X245" s="1400"/>
      <c r="Y245" s="1400"/>
      <c r="Z245" s="1400"/>
      <c r="AA245" s="1400"/>
      <c r="AB245" s="1400"/>
      <c r="AC245" s="1400"/>
      <c r="AD245" s="1400"/>
      <c r="AE245" s="1400"/>
      <c r="AF245" s="1487" t="s">
        <v>2367</v>
      </c>
      <c r="AG245" s="1487"/>
      <c r="AH245" s="1487"/>
      <c r="AI245" s="1487"/>
      <c r="AJ245" s="1487"/>
      <c r="AK245" s="1487"/>
      <c r="AM245" s="5"/>
      <c r="AN245" s="41"/>
      <c r="BB245" s="5" t="s">
        <v>933</v>
      </c>
      <c r="BH245">
        <v>2</v>
      </c>
      <c r="BI245" t="s">
        <v>779</v>
      </c>
      <c r="BO245" s="414" t="str">
        <f>VLOOKUP(AZ260,BH244:BI246,2,FALSE)</f>
        <v>Joint Venture</v>
      </c>
    </row>
    <row r="246" spans="1:67" ht="12.95" customHeight="1">
      <c r="A246" s="28"/>
      <c r="B246" s="5"/>
      <c r="C246" s="5"/>
      <c r="D246" s="5" t="s">
        <v>397</v>
      </c>
      <c r="E246" s="5"/>
      <c r="F246" s="5"/>
      <c r="G246" s="5"/>
      <c r="H246" s="5"/>
      <c r="I246" s="5"/>
      <c r="J246" s="5"/>
      <c r="K246" s="5"/>
      <c r="L246" s="5"/>
      <c r="M246" s="1351" t="s">
        <v>2464</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483</v>
      </c>
      <c r="BH246">
        <v>3</v>
      </c>
      <c r="BI246" t="s">
        <v>671</v>
      </c>
    </row>
    <row r="247" spans="1:67" ht="12.95" customHeight="1">
      <c r="A247" s="28"/>
      <c r="B247" s="5"/>
      <c r="C247" s="5"/>
      <c r="D247" s="5" t="s">
        <v>459</v>
      </c>
      <c r="E247" s="5"/>
      <c r="M247" s="1351" t="s">
        <v>117</v>
      </c>
      <c r="N247" s="1401"/>
      <c r="O247" s="1401"/>
      <c r="P247" s="1401"/>
      <c r="Q247" s="1401"/>
      <c r="R247" s="1401"/>
      <c r="S247" s="1401"/>
      <c r="T247" s="1401"/>
      <c r="V247" s="42" t="s">
        <v>398</v>
      </c>
      <c r="W247" s="1490" t="s">
        <v>2363</v>
      </c>
      <c r="X247" s="1231"/>
      <c r="Y247" s="5" t="s">
        <v>462</v>
      </c>
      <c r="AC247" s="1401">
        <v>92507</v>
      </c>
      <c r="AD247" s="1401"/>
      <c r="AE247" s="1401"/>
      <c r="AN247" s="41"/>
    </row>
    <row r="248" spans="1:67" ht="12.95" customHeight="1">
      <c r="A248" s="28"/>
      <c r="B248" s="5"/>
      <c r="C248" s="5"/>
      <c r="D248" s="5" t="s">
        <v>399</v>
      </c>
      <c r="E248" s="5"/>
      <c r="F248" s="5"/>
      <c r="G248" s="5"/>
      <c r="H248" s="5"/>
      <c r="I248" s="5"/>
      <c r="J248" s="5"/>
      <c r="K248" s="5"/>
      <c r="L248" s="28"/>
      <c r="M248" s="1351" t="s">
        <v>2465</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5" customHeight="1">
      <c r="A249" s="28"/>
      <c r="B249" s="5"/>
      <c r="C249" s="5"/>
      <c r="D249" s="5" t="s">
        <v>400</v>
      </c>
      <c r="E249" s="5"/>
      <c r="F249" s="5"/>
      <c r="M249" s="1380" t="s">
        <v>2511</v>
      </c>
      <c r="N249" s="1234"/>
      <c r="O249" s="1234"/>
      <c r="P249" s="1234"/>
      <c r="Q249" s="1234"/>
      <c r="R249" s="1234"/>
      <c r="S249" s="5" t="s">
        <v>858</v>
      </c>
      <c r="T249" s="5"/>
      <c r="U249" s="1231"/>
      <c r="V249" s="1231"/>
      <c r="W249" s="1231"/>
      <c r="X249" s="5" t="s">
        <v>401</v>
      </c>
      <c r="Z249" s="1234"/>
      <c r="AA249" s="1234"/>
      <c r="AB249" s="1234"/>
      <c r="AC249" s="1234"/>
      <c r="AD249" s="1234"/>
      <c r="AE249" s="1234"/>
      <c r="AM249" s="5"/>
      <c r="AN249" s="41"/>
    </row>
    <row r="250" spans="1:67" ht="12.95" customHeight="1">
      <c r="A250" s="28"/>
      <c r="B250" s="5"/>
      <c r="C250" s="5"/>
      <c r="D250" s="5" t="s">
        <v>402</v>
      </c>
      <c r="E250" s="5"/>
      <c r="F250" s="5"/>
      <c r="M250" s="1484" t="s">
        <v>2466</v>
      </c>
      <c r="N250" s="1484"/>
      <c r="O250" s="1484"/>
      <c r="P250" s="1484"/>
      <c r="Q250" s="1484"/>
      <c r="R250" s="1484"/>
      <c r="S250" s="1484"/>
      <c r="T250" s="1484"/>
      <c r="U250" s="1484"/>
      <c r="V250" s="1484"/>
      <c r="W250" s="1484"/>
      <c r="X250" s="1484"/>
      <c r="Y250" s="1484"/>
      <c r="Z250" s="1484"/>
      <c r="AA250" s="1484"/>
      <c r="AB250" s="1484"/>
      <c r="AC250" s="1484"/>
      <c r="AD250" s="1484"/>
      <c r="AE250" s="1484"/>
      <c r="AG250" s="5"/>
      <c r="AH250" s="5"/>
      <c r="AI250" s="5"/>
      <c r="AJ250" s="5"/>
      <c r="AK250" s="5"/>
      <c r="AL250" s="5"/>
    </row>
    <row r="251" spans="1:67" ht="12.95" customHeight="1">
      <c r="A251" s="18"/>
      <c r="B251" s="5"/>
      <c r="C251" s="62"/>
      <c r="D251" s="5" t="s">
        <v>670</v>
      </c>
      <c r="E251" s="5"/>
      <c r="F251" s="5"/>
      <c r="G251" s="5"/>
      <c r="H251" s="5"/>
      <c r="I251" s="5"/>
      <c r="J251" s="5"/>
      <c r="K251" s="5"/>
      <c r="L251" s="5"/>
      <c r="M251" s="1235" t="s">
        <v>669</v>
      </c>
      <c r="N251" s="1235"/>
      <c r="O251" s="1235"/>
      <c r="P251" s="1235"/>
      <c r="Q251" s="1235"/>
      <c r="R251" s="1235"/>
      <c r="S251" s="1235"/>
      <c r="T251" s="1235"/>
      <c r="U251" s="5" t="s">
        <v>1191</v>
      </c>
      <c r="AA251" s="1407"/>
      <c r="AB251" s="1407"/>
      <c r="AC251" s="1407"/>
      <c r="AD251" s="1407"/>
      <c r="AE251" s="1407"/>
      <c r="AF251" s="1407"/>
      <c r="AG251" s="1407"/>
      <c r="AH251" s="1407"/>
      <c r="AI251" s="1407"/>
      <c r="AJ251" s="1407"/>
      <c r="AK251" s="14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0" t="s">
        <v>2369</v>
      </c>
      <c r="N253" s="1400"/>
      <c r="O253" s="1400"/>
      <c r="P253" s="1400"/>
      <c r="Q253" s="1400"/>
      <c r="R253" s="1400"/>
      <c r="S253" s="1400"/>
      <c r="T253" s="1400"/>
      <c r="U253" s="1400"/>
      <c r="V253" s="1400"/>
      <c r="W253" s="1400"/>
      <c r="X253" s="1400"/>
      <c r="Y253" s="1400"/>
      <c r="Z253" s="1400"/>
      <c r="AA253" s="1400"/>
      <c r="AB253" s="1400"/>
      <c r="AC253" s="1400"/>
      <c r="AD253" s="1400"/>
      <c r="AE253" s="1400"/>
      <c r="AF253" s="1487" t="s">
        <v>2368</v>
      </c>
      <c r="AG253" s="1487"/>
      <c r="AH253" s="1487"/>
      <c r="AI253" s="1487"/>
      <c r="AJ253" s="1487"/>
      <c r="AK253" s="1487"/>
      <c r="AM253" s="5"/>
    </row>
    <row r="254" spans="1:67" ht="12.95" customHeight="1">
      <c r="A254" s="28"/>
      <c r="B254" s="5"/>
      <c r="C254" s="5"/>
      <c r="D254" s="5" t="s">
        <v>397</v>
      </c>
      <c r="E254" s="5"/>
      <c r="F254" s="5"/>
      <c r="G254" s="5"/>
      <c r="H254" s="5"/>
      <c r="I254" s="5"/>
      <c r="J254" s="5"/>
      <c r="K254" s="5"/>
      <c r="L254" s="5"/>
      <c r="M254" s="1401" t="str">
        <f>M236</f>
        <v>7250 Redwood Boulevard, Suite 214</v>
      </c>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5" customHeight="1">
      <c r="A255" s="28"/>
      <c r="B255" s="5"/>
      <c r="C255" s="5"/>
      <c r="D255" s="5" t="s">
        <v>459</v>
      </c>
      <c r="E255" s="5"/>
      <c r="M255" s="1401" t="str">
        <f>M237</f>
        <v>Novato</v>
      </c>
      <c r="N255" s="1401"/>
      <c r="O255" s="1401"/>
      <c r="P255" s="1401"/>
      <c r="Q255" s="1401"/>
      <c r="R255" s="1401"/>
      <c r="S255" s="1401"/>
      <c r="T255" s="1401"/>
      <c r="V255" s="42" t="s">
        <v>398</v>
      </c>
      <c r="W255" s="1231" t="str">
        <f>W237</f>
        <v>CA</v>
      </c>
      <c r="X255" s="1231"/>
      <c r="Y255" s="5" t="s">
        <v>462</v>
      </c>
      <c r="AC255" s="1401">
        <f>AC237</f>
        <v>94945</v>
      </c>
      <c r="AD255" s="1401"/>
      <c r="AE255" s="1401"/>
    </row>
    <row r="256" spans="1:67" ht="12.95" customHeight="1">
      <c r="A256" s="28"/>
      <c r="B256" s="5"/>
      <c r="C256" s="5"/>
      <c r="D256" s="5" t="s">
        <v>399</v>
      </c>
      <c r="E256" s="5"/>
      <c r="F256" s="5"/>
      <c r="G256" s="5"/>
      <c r="H256" s="5"/>
      <c r="I256" s="5"/>
      <c r="J256" s="5"/>
      <c r="K256" s="5"/>
      <c r="L256" s="28"/>
      <c r="M256" s="1401" t="str">
        <f>M238</f>
        <v>Justin Solomon</v>
      </c>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5" customHeight="1">
      <c r="A257" s="28"/>
      <c r="B257" s="5"/>
      <c r="C257" s="5"/>
      <c r="D257" s="5" t="s">
        <v>400</v>
      </c>
      <c r="E257" s="5"/>
      <c r="F257" s="5"/>
      <c r="M257" s="1234" t="str">
        <f>M239</f>
        <v>(415) 609-5352</v>
      </c>
      <c r="N257" s="1234"/>
      <c r="O257" s="1234"/>
      <c r="P257" s="1234"/>
      <c r="Q257" s="1234"/>
      <c r="R257" s="1234"/>
      <c r="S257" s="5" t="s">
        <v>858</v>
      </c>
      <c r="T257" s="5"/>
      <c r="U257" s="1231"/>
      <c r="V257" s="1231"/>
      <c r="W257" s="1231"/>
      <c r="X257" s="5" t="s">
        <v>401</v>
      </c>
      <c r="Z257" s="1234"/>
      <c r="AA257" s="1234"/>
      <c r="AB257" s="1234"/>
      <c r="AC257" s="1234"/>
      <c r="AD257" s="1234"/>
      <c r="AE257" s="1234"/>
      <c r="BA257" s="43"/>
    </row>
    <row r="258" spans="1:53" ht="12.95" customHeight="1">
      <c r="A258" s="28"/>
      <c r="B258" s="5"/>
      <c r="C258" s="5"/>
      <c r="D258" s="5" t="s">
        <v>402</v>
      </c>
      <c r="E258" s="5"/>
      <c r="F258" s="5"/>
      <c r="M258" s="1484" t="str">
        <f>M240</f>
        <v>jsolomon@d-h-i.net</v>
      </c>
      <c r="N258" s="1484"/>
      <c r="O258" s="1484"/>
      <c r="P258" s="1484"/>
      <c r="Q258" s="1484"/>
      <c r="R258" s="1484"/>
      <c r="S258" s="1484"/>
      <c r="T258" s="1484"/>
      <c r="U258" s="1484"/>
      <c r="V258" s="1484"/>
      <c r="W258" s="1484"/>
      <c r="X258" s="1484"/>
      <c r="Y258" s="1484"/>
      <c r="Z258" s="1484"/>
      <c r="AA258" s="1484"/>
      <c r="AB258" s="1484"/>
      <c r="AC258" s="1484"/>
      <c r="AD258" s="1484"/>
      <c r="AE258" s="1484"/>
      <c r="AG258" s="5"/>
      <c r="AH258" s="5"/>
      <c r="AI258" s="5"/>
      <c r="AJ258" s="5"/>
      <c r="AK258" s="5"/>
      <c r="AL258" s="5"/>
    </row>
    <row r="259" spans="1:53" ht="12.95" customHeight="1">
      <c r="A259" s="18"/>
      <c r="B259" s="5"/>
      <c r="C259" s="62"/>
      <c r="D259" s="5" t="s">
        <v>670</v>
      </c>
      <c r="E259" s="5"/>
      <c r="F259" s="5"/>
      <c r="G259" s="5"/>
      <c r="H259" s="5"/>
      <c r="I259" s="5"/>
      <c r="J259" s="5"/>
      <c r="K259" s="5"/>
      <c r="L259" s="5"/>
      <c r="M259" s="1235" t="s">
        <v>671</v>
      </c>
      <c r="N259" s="1235"/>
      <c r="O259" s="1235"/>
      <c r="P259" s="1235"/>
      <c r="Q259" s="1235"/>
      <c r="R259" s="1235"/>
      <c r="S259" s="1235"/>
      <c r="T259" s="1235"/>
      <c r="U259" s="5" t="s">
        <v>1191</v>
      </c>
      <c r="AA259" s="1485" t="s">
        <v>2370</v>
      </c>
      <c r="AB259" s="1407"/>
      <c r="AC259" s="1407"/>
      <c r="AD259" s="1407"/>
      <c r="AE259" s="1407"/>
      <c r="AF259" s="1407"/>
      <c r="AG259" s="1407"/>
      <c r="AH259" s="1407"/>
      <c r="AI259" s="1407"/>
      <c r="AJ259" s="1407"/>
      <c r="AK259" s="14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1980</v>
      </c>
      <c r="D261" s="5" t="s">
        <v>667</v>
      </c>
      <c r="E261" s="5"/>
      <c r="F261" s="5"/>
      <c r="G261" s="5"/>
      <c r="H261" s="5"/>
      <c r="I261" s="5"/>
      <c r="J261" s="5"/>
      <c r="K261" s="5"/>
      <c r="L261" s="5"/>
      <c r="M261" s="1487"/>
      <c r="N261" s="1487"/>
      <c r="O261" s="1487"/>
      <c r="P261" s="1487"/>
      <c r="Q261" s="1487"/>
      <c r="R261" s="1487"/>
      <c r="S261" s="1487"/>
      <c r="T261" s="1487"/>
      <c r="U261" s="1487"/>
      <c r="V261" s="1487"/>
      <c r="W261" s="1487"/>
      <c r="X261" s="1487"/>
      <c r="Y261" s="1487"/>
      <c r="Z261" s="1487"/>
      <c r="AA261" s="1487"/>
      <c r="AB261" s="1487"/>
      <c r="AC261" s="1487"/>
      <c r="AD261" s="1487"/>
      <c r="AE261" s="1487"/>
      <c r="AF261" s="1487" t="s">
        <v>84</v>
      </c>
      <c r="AG261" s="1487"/>
      <c r="AH261" s="1487"/>
      <c r="AI261" s="1487"/>
      <c r="AJ261" s="1487"/>
      <c r="AK261" s="1487"/>
      <c r="AL261" s="41"/>
    </row>
    <row r="262" spans="1:53" ht="12.95" customHeight="1">
      <c r="A262" s="18"/>
      <c r="B262" s="5"/>
      <c r="C262" s="5"/>
      <c r="D262" s="5" t="s">
        <v>397</v>
      </c>
      <c r="E262" s="5"/>
      <c r="F262" s="5"/>
      <c r="G262" s="5"/>
      <c r="H262" s="5"/>
      <c r="I262" s="5"/>
      <c r="J262" s="5"/>
      <c r="K262" s="5"/>
      <c r="L262" s="5"/>
      <c r="M262" s="1401"/>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5" customHeight="1">
      <c r="A263" s="18"/>
      <c r="B263" s="5"/>
      <c r="C263" s="5"/>
      <c r="D263" s="5" t="s">
        <v>459</v>
      </c>
      <c r="E263" s="5"/>
      <c r="M263" s="1401"/>
      <c r="N263" s="1401"/>
      <c r="O263" s="1401"/>
      <c r="P263" s="1401"/>
      <c r="Q263" s="1401"/>
      <c r="R263" s="1401"/>
      <c r="S263" s="1401"/>
      <c r="T263" s="1401"/>
      <c r="V263" s="42" t="s">
        <v>398</v>
      </c>
      <c r="W263" s="1231"/>
      <c r="X263" s="1231"/>
      <c r="Y263" s="5" t="s">
        <v>462</v>
      </c>
      <c r="AC263" s="1401"/>
      <c r="AD263" s="1401"/>
      <c r="AE263" s="1401"/>
      <c r="AL263" s="41"/>
      <c r="BA263" s="43"/>
    </row>
    <row r="264" spans="1:53" ht="12.95" customHeight="1">
      <c r="A264" s="18"/>
      <c r="B264" s="5"/>
      <c r="C264" s="5"/>
      <c r="D264" s="5" t="s">
        <v>399</v>
      </c>
      <c r="E264" s="5"/>
      <c r="F264" s="5"/>
      <c r="G264" s="5"/>
      <c r="H264" s="5"/>
      <c r="I264" s="5"/>
      <c r="J264" s="5"/>
      <c r="K264" s="5"/>
      <c r="L264" s="28"/>
      <c r="M264" s="1401"/>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5" customHeight="1">
      <c r="A265" s="18"/>
      <c r="B265" s="5"/>
      <c r="C265" s="5"/>
      <c r="D265" s="5" t="s">
        <v>400</v>
      </c>
      <c r="E265" s="5"/>
      <c r="F265" s="5"/>
      <c r="M265" s="1234"/>
      <c r="N265" s="1234"/>
      <c r="O265" s="1234"/>
      <c r="P265" s="1234"/>
      <c r="Q265" s="1234"/>
      <c r="R265" s="1234"/>
      <c r="S265" s="5" t="s">
        <v>858</v>
      </c>
      <c r="T265" s="5"/>
      <c r="U265" s="1231"/>
      <c r="V265" s="1231"/>
      <c r="W265" s="1231"/>
      <c r="X265" s="5" t="s">
        <v>401</v>
      </c>
      <c r="Z265" s="1234"/>
      <c r="AA265" s="1234"/>
      <c r="AB265" s="1234"/>
      <c r="AC265" s="1234"/>
      <c r="AD265" s="1234"/>
      <c r="AE265" s="1234"/>
      <c r="AL265" s="41"/>
      <c r="BA265" s="43"/>
    </row>
    <row r="266" spans="1:53" ht="12.95" customHeight="1">
      <c r="A266" s="18"/>
      <c r="B266" s="5"/>
      <c r="C266" s="5"/>
      <c r="D266" s="5" t="s">
        <v>402</v>
      </c>
      <c r="E266" s="5"/>
      <c r="F266" s="5"/>
      <c r="M266" s="1484"/>
      <c r="N266" s="1484"/>
      <c r="O266" s="1484"/>
      <c r="P266" s="1484"/>
      <c r="Q266" s="1484"/>
      <c r="R266" s="1484"/>
      <c r="S266" s="1484"/>
      <c r="T266" s="1484"/>
      <c r="U266" s="1484"/>
      <c r="V266" s="1484"/>
      <c r="W266" s="1484"/>
      <c r="X266" s="1484"/>
      <c r="Y266" s="1484"/>
      <c r="Z266" s="1484"/>
      <c r="AA266" s="1484"/>
      <c r="AB266" s="1484"/>
      <c r="AC266" s="1484"/>
      <c r="AD266" s="1484"/>
      <c r="AE266" s="1484"/>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5" t="s">
        <v>84</v>
      </c>
      <c r="N267" s="1235"/>
      <c r="O267" s="1235"/>
      <c r="P267" s="1235"/>
      <c r="Q267" s="1235"/>
      <c r="R267" s="1235"/>
      <c r="S267" s="1235"/>
      <c r="T267" s="1235"/>
      <c r="U267" s="5" t="s">
        <v>1191</v>
      </c>
      <c r="AA267" s="1407"/>
      <c r="AB267" s="1407"/>
      <c r="AC267" s="1407"/>
      <c r="AD267" s="1407"/>
      <c r="AE267" s="1407"/>
      <c r="AF267" s="1407"/>
      <c r="AG267" s="1407"/>
      <c r="AH267" s="1407"/>
      <c r="AI267" s="1407"/>
      <c r="AJ267" s="1407"/>
      <c r="AK267" s="14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51" t="str">
        <f>BO245</f>
        <v>Joint Venture</v>
      </c>
      <c r="U269" s="1551"/>
      <c r="V269" s="1551"/>
      <c r="W269" s="1551"/>
      <c r="X269" s="1551"/>
      <c r="Z269" s="486"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7"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88" t="s">
        <v>1262</v>
      </c>
      <c r="AA271" s="54"/>
      <c r="AB271" s="54"/>
      <c r="AC271" s="54"/>
      <c r="AD271" s="193"/>
      <c r="AE271" s="193"/>
      <c r="AF271" s="193"/>
      <c r="AG271" s="193"/>
      <c r="AH271" s="193"/>
      <c r="AI271" s="193"/>
      <c r="AJ271" s="193"/>
      <c r="AK271" s="412"/>
      <c r="AL271" s="489"/>
    </row>
    <row r="272" spans="1:53" ht="12.95" customHeight="1">
      <c r="A272" s="5"/>
      <c r="B272" s="45">
        <v>0</v>
      </c>
      <c r="D272" s="1401" t="s">
        <v>933</v>
      </c>
      <c r="E272" s="1401"/>
      <c r="F272" s="1401"/>
      <c r="G272" s="1401"/>
      <c r="H272" s="1401"/>
      <c r="J272" t="s">
        <v>932</v>
      </c>
      <c r="X272" s="1486"/>
      <c r="Y272" s="1486"/>
      <c r="Z272" s="1486"/>
      <c r="AA272" s="1486"/>
      <c r="AB272" s="1486"/>
      <c r="AC272" s="148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0" t="s">
        <v>2370</v>
      </c>
      <c r="M276" s="1487"/>
      <c r="N276" s="1487"/>
      <c r="O276" s="1487"/>
      <c r="P276" s="1487"/>
      <c r="Q276" s="1487"/>
      <c r="R276" s="1487"/>
      <c r="S276" s="1487"/>
      <c r="T276" s="1487"/>
      <c r="U276" s="1487"/>
      <c r="V276" s="1487"/>
      <c r="W276" s="1487"/>
      <c r="X276" s="1487"/>
      <c r="Y276" s="1487"/>
      <c r="Z276" s="1487"/>
      <c r="AA276" s="1487"/>
      <c r="AB276" s="1487"/>
      <c r="AC276" s="1487"/>
      <c r="AD276" s="1487"/>
      <c r="AE276" s="1487"/>
      <c r="AF276" s="1487"/>
      <c r="AG276" s="1487"/>
      <c r="AH276" s="1487"/>
      <c r="AI276" s="1487"/>
      <c r="AJ276" s="1487"/>
      <c r="AK276" s="41"/>
      <c r="AL276" s="41"/>
      <c r="BA276" s="43"/>
    </row>
    <row r="277" spans="1:53" ht="12.95" customHeight="1">
      <c r="D277" s="5" t="s">
        <v>397</v>
      </c>
      <c r="E277" s="5"/>
      <c r="F277" s="5"/>
      <c r="G277" s="5"/>
      <c r="H277" s="5"/>
      <c r="I277" s="5"/>
      <c r="J277" s="5"/>
      <c r="K277" s="5"/>
      <c r="L277" s="1351" t="str">
        <f>M236</f>
        <v>7250 Redwood Boulevard, Suite 214</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5" customHeight="1">
      <c r="D278" s="5" t="s">
        <v>459</v>
      </c>
      <c r="E278" s="5"/>
      <c r="L278" s="1351" t="str">
        <f>M237</f>
        <v>Novato</v>
      </c>
      <c r="M278" s="1401"/>
      <c r="N278" s="1401"/>
      <c r="O278" s="1401"/>
      <c r="P278" s="1401"/>
      <c r="Q278" s="1401"/>
      <c r="R278" s="1401"/>
      <c r="S278" s="1401"/>
      <c r="U278" s="42" t="s">
        <v>398</v>
      </c>
      <c r="V278" s="1231" t="str">
        <f>W237</f>
        <v>CA</v>
      </c>
      <c r="W278" s="1231"/>
      <c r="X278" s="5" t="s">
        <v>462</v>
      </c>
      <c r="AB278" s="1401">
        <f>AC237</f>
        <v>94945</v>
      </c>
      <c r="AC278" s="1401"/>
      <c r="AD278" s="1401"/>
      <c r="AK278" s="41"/>
      <c r="AL278" s="41"/>
      <c r="BA278" s="43"/>
    </row>
    <row r="279" spans="1:53" ht="12.95" customHeight="1">
      <c r="D279" s="5" t="s">
        <v>399</v>
      </c>
      <c r="E279" s="5"/>
      <c r="F279" s="5"/>
      <c r="G279" s="5"/>
      <c r="H279" s="5"/>
      <c r="I279" s="5"/>
      <c r="J279" s="5"/>
      <c r="K279" s="28"/>
      <c r="L279" s="1351" t="str">
        <f>M238</f>
        <v>Justin Solomon</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5" customHeight="1">
      <c r="D280" s="5" t="s">
        <v>400</v>
      </c>
      <c r="E280" s="5"/>
      <c r="F280" s="5"/>
      <c r="L280" s="1234" t="str">
        <f>M239</f>
        <v>(415) 609-5352</v>
      </c>
      <c r="M280" s="1234"/>
      <c r="N280" s="1234"/>
      <c r="O280" s="1234"/>
      <c r="P280" s="1234"/>
      <c r="Q280" s="1234"/>
      <c r="R280" s="5" t="s">
        <v>858</v>
      </c>
      <c r="S280" s="5"/>
      <c r="T280" s="1231"/>
      <c r="U280" s="1231"/>
      <c r="V280" s="1231"/>
      <c r="W280" s="5" t="s">
        <v>401</v>
      </c>
      <c r="Y280" s="1234"/>
      <c r="Z280" s="1234"/>
      <c r="AA280" s="1234"/>
      <c r="AB280" s="1234"/>
      <c r="AC280" s="1234"/>
      <c r="AD280" s="1234"/>
      <c r="BA280" s="43"/>
    </row>
    <row r="281" spans="1:53" ht="12.95" customHeight="1">
      <c r="D281" s="5" t="s">
        <v>402</v>
      </c>
      <c r="E281" s="5"/>
      <c r="F281" s="5"/>
      <c r="L281" s="1484" t="str">
        <f>M240</f>
        <v>jsolomon@d-h-i.net</v>
      </c>
      <c r="M281" s="1484"/>
      <c r="N281" s="1484"/>
      <c r="O281" s="1484"/>
      <c r="P281" s="1484"/>
      <c r="Q281" s="1484"/>
      <c r="R281" s="1484"/>
      <c r="S281" s="1484"/>
      <c r="T281" s="1484"/>
      <c r="U281" s="1484"/>
      <c r="V281" s="1484"/>
      <c r="W281" s="1484"/>
      <c r="X281" s="1484"/>
      <c r="Y281" s="1484"/>
      <c r="Z281" s="1484"/>
      <c r="AA281" s="1484"/>
      <c r="AB281" s="1484"/>
      <c r="AC281" s="1484"/>
      <c r="AD281" s="1484"/>
      <c r="AF281" s="5"/>
      <c r="AG281" s="5"/>
      <c r="AH281" s="5"/>
      <c r="AI281" s="5"/>
      <c r="AJ281" s="5"/>
      <c r="BA281" s="43"/>
    </row>
    <row r="282" spans="1:53" ht="12.95" customHeight="1">
      <c r="D282" s="41" t="s">
        <v>197</v>
      </c>
      <c r="E282" s="41"/>
      <c r="F282" s="41"/>
      <c r="G282" s="41"/>
      <c r="H282" s="41"/>
      <c r="I282" s="41"/>
      <c r="L282" s="1490" t="s">
        <v>2428</v>
      </c>
      <c r="M282" s="1490"/>
      <c r="N282" s="1490"/>
      <c r="O282" s="1490"/>
      <c r="P282" s="1490"/>
      <c r="Q282" s="1490"/>
      <c r="R282" s="1490"/>
      <c r="S282" s="1490"/>
      <c r="T282" s="1490"/>
      <c r="U282" s="1490"/>
      <c r="V282" s="1490"/>
      <c r="W282" s="1490"/>
      <c r="X282" s="1490"/>
      <c r="Y282" s="1490"/>
      <c r="Z282" s="1490"/>
      <c r="AA282" s="1490"/>
      <c r="AB282" s="1490"/>
      <c r="AC282" s="1490"/>
      <c r="AD282" s="1490"/>
      <c r="AK282" s="41"/>
      <c r="AL282" s="41"/>
      <c r="BA282" s="43"/>
    </row>
    <row r="283" spans="1:53" ht="12.95" customHeight="1">
      <c r="L283" s="4" t="s">
        <v>198</v>
      </c>
      <c r="BA283" s="43"/>
    </row>
    <row r="284" spans="1:53" ht="12.95" customHeight="1">
      <c r="A284" s="1412" t="s">
        <v>525</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2.95"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3" t="s">
        <v>2370</v>
      </c>
      <c r="I289" s="1233"/>
      <c r="J289" s="1233"/>
      <c r="K289" s="1233"/>
      <c r="L289" s="1233"/>
      <c r="M289" s="1233"/>
      <c r="N289" s="1233"/>
      <c r="O289" s="1233"/>
      <c r="P289" s="1233"/>
      <c r="Q289" s="1233"/>
      <c r="R289" s="1233"/>
      <c r="T289" s="41" t="s">
        <v>780</v>
      </c>
      <c r="V289" s="41"/>
      <c r="W289" s="41"/>
      <c r="X289" s="41"/>
      <c r="Y289" s="41"/>
      <c r="AA289" s="1233" t="s">
        <v>2399</v>
      </c>
      <c r="AB289" s="1233"/>
      <c r="AC289" s="1233"/>
      <c r="AD289" s="1233"/>
      <c r="AE289" s="1233"/>
      <c r="AF289" s="1233"/>
      <c r="AG289" s="1233"/>
      <c r="AH289" s="1233"/>
      <c r="AI289" s="1233"/>
      <c r="AJ289" s="1233"/>
      <c r="AK289" s="1233"/>
      <c r="BA289" s="43"/>
    </row>
    <row r="290" spans="2:53" ht="12.95" customHeight="1">
      <c r="B290" s="41" t="s">
        <v>734</v>
      </c>
      <c r="C290" s="41"/>
      <c r="D290" s="41"/>
      <c r="E290" s="41"/>
      <c r="F290" s="41"/>
      <c r="H290" s="1235" t="s">
        <v>2371</v>
      </c>
      <c r="I290" s="1235"/>
      <c r="J290" s="1235"/>
      <c r="K290" s="1235"/>
      <c r="L290" s="1235"/>
      <c r="M290" s="1235"/>
      <c r="N290" s="1235"/>
      <c r="O290" s="1235"/>
      <c r="P290" s="1235"/>
      <c r="Q290" s="1235"/>
      <c r="R290" s="1235"/>
      <c r="T290" s="41" t="s">
        <v>734</v>
      </c>
      <c r="V290" s="41"/>
      <c r="W290" s="41"/>
      <c r="X290" s="41"/>
      <c r="Y290" s="41"/>
      <c r="AA290" s="1235" t="s">
        <v>2400</v>
      </c>
      <c r="AB290" s="1235"/>
      <c r="AC290" s="1235"/>
      <c r="AD290" s="1235"/>
      <c r="AE290" s="1235"/>
      <c r="AF290" s="1235"/>
      <c r="AG290" s="1235"/>
      <c r="AH290" s="1235"/>
      <c r="AI290" s="1235"/>
      <c r="AJ290" s="1235"/>
      <c r="AK290" s="1235"/>
      <c r="BA290" s="43"/>
    </row>
    <row r="291" spans="2:53" ht="12.95" customHeight="1">
      <c r="B291" s="41" t="s">
        <v>736</v>
      </c>
      <c r="C291" s="41"/>
      <c r="D291" s="41"/>
      <c r="E291" s="41"/>
      <c r="F291" s="41"/>
      <c r="H291" s="1235" t="s">
        <v>2372</v>
      </c>
      <c r="I291" s="1235"/>
      <c r="J291" s="1235"/>
      <c r="K291" s="1235"/>
      <c r="L291" s="1235"/>
      <c r="M291" s="1235"/>
      <c r="N291" s="1235"/>
      <c r="O291" s="1235"/>
      <c r="P291" s="1235"/>
      <c r="Q291" s="1235"/>
      <c r="R291" s="1235"/>
      <c r="T291" s="41" t="s">
        <v>735</v>
      </c>
      <c r="V291" s="41"/>
      <c r="W291" s="41"/>
      <c r="X291" s="41"/>
      <c r="Y291" s="41"/>
      <c r="AA291" s="1235" t="s">
        <v>2401</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235" t="s">
        <v>2364</v>
      </c>
      <c r="I292" s="1235"/>
      <c r="J292" s="1235"/>
      <c r="K292" s="1235"/>
      <c r="L292" s="1235"/>
      <c r="M292" s="1235"/>
      <c r="N292" s="1235"/>
      <c r="O292" s="1235"/>
      <c r="P292" s="1235"/>
      <c r="Q292" s="1235"/>
      <c r="R292" s="1235"/>
      <c r="T292" s="41" t="s">
        <v>399</v>
      </c>
      <c r="V292" s="41"/>
      <c r="W292" s="41"/>
      <c r="X292" s="41"/>
      <c r="Y292" s="41"/>
      <c r="AA292" s="1235" t="s">
        <v>2402</v>
      </c>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485" t="s">
        <v>2365</v>
      </c>
      <c r="I293" s="1407"/>
      <c r="J293" s="1407"/>
      <c r="K293" s="1407"/>
      <c r="L293" s="1407"/>
      <c r="M293" s="1407"/>
      <c r="N293" s="5" t="s">
        <v>858</v>
      </c>
      <c r="O293" s="5"/>
      <c r="P293" s="1401"/>
      <c r="Q293" s="1401"/>
      <c r="R293" s="1401"/>
      <c r="S293" s="41"/>
      <c r="T293" s="41" t="s">
        <v>400</v>
      </c>
      <c r="V293" s="41"/>
      <c r="W293" s="41"/>
      <c r="X293" s="41"/>
      <c r="Y293" s="41"/>
      <c r="AA293" s="1407" t="s">
        <v>2403</v>
      </c>
      <c r="AB293" s="1407"/>
      <c r="AC293" s="1407"/>
      <c r="AD293" s="1407"/>
      <c r="AE293" s="1407"/>
      <c r="AF293" s="1407"/>
      <c r="AG293" s="5" t="s">
        <v>858</v>
      </c>
      <c r="AH293" s="5"/>
      <c r="AI293" s="1401"/>
      <c r="AJ293" s="1401"/>
      <c r="AK293" s="1401"/>
      <c r="BA293" s="43"/>
    </row>
    <row r="294" spans="2:53" ht="12.95" customHeight="1">
      <c r="B294" s="41" t="s">
        <v>401</v>
      </c>
      <c r="C294" s="41"/>
      <c r="D294" s="41"/>
      <c r="E294" s="41"/>
      <c r="F294" s="41"/>
      <c r="G294" s="41"/>
      <c r="H294" s="1234"/>
      <c r="I294" s="1234"/>
      <c r="J294" s="1234"/>
      <c r="K294" s="1234"/>
      <c r="L294" s="1234"/>
      <c r="M294" s="1234"/>
      <c r="N294" s="5"/>
      <c r="O294" s="5"/>
      <c r="P294" s="44"/>
      <c r="Q294" s="44"/>
      <c r="R294" s="44"/>
      <c r="S294" s="41"/>
      <c r="T294" s="41" t="s">
        <v>401</v>
      </c>
      <c r="V294" s="41"/>
      <c r="W294" s="41"/>
      <c r="X294" s="41"/>
      <c r="Y294" s="41"/>
      <c r="AA294" s="1234" t="s">
        <v>2404</v>
      </c>
      <c r="AB294" s="1234"/>
      <c r="AC294" s="1234"/>
      <c r="AD294" s="1234"/>
      <c r="AE294" s="1234"/>
      <c r="AF294" s="1234"/>
      <c r="AG294" s="5"/>
      <c r="AH294" s="5"/>
      <c r="AI294" s="44"/>
      <c r="AJ294" s="44"/>
      <c r="AK294" s="44"/>
      <c r="BA294" s="43"/>
    </row>
    <row r="295" spans="2:53" ht="12.95" customHeight="1">
      <c r="B295" s="41" t="s">
        <v>737</v>
      </c>
      <c r="C295" s="41"/>
      <c r="D295" s="41"/>
      <c r="E295" s="41"/>
      <c r="F295" s="41"/>
      <c r="G295" s="41"/>
      <c r="H295" s="1235" t="s">
        <v>2366</v>
      </c>
      <c r="I295" s="1235"/>
      <c r="J295" s="1235"/>
      <c r="K295" s="1235"/>
      <c r="L295" s="1235"/>
      <c r="M295" s="1235"/>
      <c r="N295" s="1233"/>
      <c r="O295" s="1233"/>
      <c r="P295" s="1233"/>
      <c r="Q295" s="1233"/>
      <c r="R295" s="1233"/>
      <c r="S295" s="41"/>
      <c r="T295" s="41" t="s">
        <v>737</v>
      </c>
      <c r="V295" s="41"/>
      <c r="W295" s="41"/>
      <c r="X295" s="41"/>
      <c r="Y295" s="41"/>
      <c r="AA295" s="1235" t="s">
        <v>2405</v>
      </c>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3" t="s">
        <v>2373</v>
      </c>
      <c r="I297" s="1233"/>
      <c r="J297" s="1233"/>
      <c r="K297" s="1233"/>
      <c r="L297" s="1233"/>
      <c r="M297" s="1233"/>
      <c r="N297" s="1233"/>
      <c r="O297" s="1233"/>
      <c r="P297" s="1233"/>
      <c r="Q297" s="1233"/>
      <c r="R297" s="1233"/>
      <c r="T297" s="41" t="s">
        <v>39</v>
      </c>
      <c r="V297" s="41"/>
      <c r="W297" s="41"/>
      <c r="X297" s="41"/>
      <c r="Y297" s="41"/>
      <c r="AA297" s="1233" t="s">
        <v>2406</v>
      </c>
      <c r="AB297" s="1233"/>
      <c r="AC297" s="1233"/>
      <c r="AD297" s="1233"/>
      <c r="AE297" s="1233"/>
      <c r="AF297" s="1233"/>
      <c r="AG297" s="1233"/>
      <c r="AH297" s="1233"/>
      <c r="AI297" s="1233"/>
      <c r="AJ297" s="1233"/>
      <c r="AK297" s="1233"/>
      <c r="BA297" s="43"/>
    </row>
    <row r="298" spans="2:53" ht="12.95" customHeight="1">
      <c r="B298" s="41" t="s">
        <v>734</v>
      </c>
      <c r="C298" s="41"/>
      <c r="D298" s="41"/>
      <c r="E298" s="41"/>
      <c r="F298" s="41"/>
      <c r="H298" s="1235" t="s">
        <v>2374</v>
      </c>
      <c r="I298" s="1235"/>
      <c r="J298" s="1235"/>
      <c r="K298" s="1235"/>
      <c r="L298" s="1235"/>
      <c r="M298" s="1235"/>
      <c r="N298" s="1235"/>
      <c r="O298" s="1235"/>
      <c r="P298" s="1235"/>
      <c r="Q298" s="1235"/>
      <c r="R298" s="1235"/>
      <c r="T298" s="41" t="s">
        <v>734</v>
      </c>
      <c r="V298" s="41"/>
      <c r="W298" s="41"/>
      <c r="X298" s="41"/>
      <c r="Y298" s="41"/>
      <c r="AA298" s="1235" t="str">
        <f>H290</f>
        <v>7250 Redwood Blvd, Suite 214</v>
      </c>
      <c r="AB298" s="1235"/>
      <c r="AC298" s="1235"/>
      <c r="AD298" s="1235"/>
      <c r="AE298" s="1235"/>
      <c r="AF298" s="1235"/>
      <c r="AG298" s="1235"/>
      <c r="AH298" s="1235"/>
      <c r="AI298" s="1235"/>
      <c r="AJ298" s="1235"/>
      <c r="AK298" s="1235"/>
      <c r="BA298" s="43"/>
    </row>
    <row r="299" spans="2:53" ht="12.95" customHeight="1">
      <c r="B299" s="41" t="s">
        <v>736</v>
      </c>
      <c r="C299" s="41"/>
      <c r="D299" s="41"/>
      <c r="E299" s="41"/>
      <c r="F299" s="41"/>
      <c r="H299" s="1235" t="s">
        <v>2375</v>
      </c>
      <c r="I299" s="1235"/>
      <c r="J299" s="1235"/>
      <c r="K299" s="1235"/>
      <c r="L299" s="1235"/>
      <c r="M299" s="1235"/>
      <c r="N299" s="1235"/>
      <c r="O299" s="1235"/>
      <c r="P299" s="1235"/>
      <c r="Q299" s="1235"/>
      <c r="R299" s="1235"/>
      <c r="T299" s="41" t="s">
        <v>735</v>
      </c>
      <c r="V299" s="41"/>
      <c r="W299" s="41"/>
      <c r="X299" s="41"/>
      <c r="Y299" s="41"/>
      <c r="AA299" s="1235" t="str">
        <f>H291</f>
        <v>Novato, CA  94945</v>
      </c>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35" t="s">
        <v>2376</v>
      </c>
      <c r="I300" s="1235"/>
      <c r="J300" s="1235"/>
      <c r="K300" s="1235"/>
      <c r="L300" s="1235"/>
      <c r="M300" s="1235"/>
      <c r="N300" s="1235"/>
      <c r="O300" s="1235"/>
      <c r="P300" s="1235"/>
      <c r="Q300" s="1235"/>
      <c r="R300" s="1235"/>
      <c r="T300" s="41" t="s">
        <v>399</v>
      </c>
      <c r="V300" s="41"/>
      <c r="W300" s="41"/>
      <c r="X300" s="41"/>
      <c r="Y300" s="41"/>
      <c r="AA300" s="1235" t="s">
        <v>2407</v>
      </c>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407" t="s">
        <v>2377</v>
      </c>
      <c r="I301" s="1407"/>
      <c r="J301" s="1407"/>
      <c r="K301" s="1407"/>
      <c r="L301" s="1407"/>
      <c r="M301" s="1407"/>
      <c r="N301" s="5" t="s">
        <v>858</v>
      </c>
      <c r="O301" s="5"/>
      <c r="P301" s="1401"/>
      <c r="Q301" s="1401"/>
      <c r="R301" s="1401"/>
      <c r="S301" s="41"/>
      <c r="T301" s="41" t="s">
        <v>400</v>
      </c>
      <c r="V301" s="41"/>
      <c r="W301" s="41"/>
      <c r="X301" s="41"/>
      <c r="Y301" s="41"/>
      <c r="AA301" s="1407" t="s">
        <v>2408</v>
      </c>
      <c r="AB301" s="1407"/>
      <c r="AC301" s="1407"/>
      <c r="AD301" s="1407"/>
      <c r="AE301" s="1407"/>
      <c r="AF301" s="1407"/>
      <c r="AG301" s="5" t="s">
        <v>858</v>
      </c>
      <c r="AH301" s="5"/>
      <c r="AI301" s="1401"/>
      <c r="AJ301" s="1401"/>
      <c r="AK301" s="1401"/>
      <c r="BA301" s="43"/>
    </row>
    <row r="302" spans="2:53" ht="12.95" customHeight="1">
      <c r="B302" s="41" t="s">
        <v>401</v>
      </c>
      <c r="C302" s="41"/>
      <c r="D302" s="41"/>
      <c r="E302" s="41"/>
      <c r="F302" s="41"/>
      <c r="G302" s="41"/>
      <c r="H302" s="1234" t="s">
        <v>2378</v>
      </c>
      <c r="I302" s="1234"/>
      <c r="J302" s="1234"/>
      <c r="K302" s="1234"/>
      <c r="L302" s="1234"/>
      <c r="M302" s="1234"/>
      <c r="N302" s="5"/>
      <c r="O302" s="5"/>
      <c r="P302" s="44"/>
      <c r="Q302" s="44"/>
      <c r="R302" s="44"/>
      <c r="S302" s="41"/>
      <c r="T302" s="41" t="s">
        <v>401</v>
      </c>
      <c r="V302" s="41"/>
      <c r="W302" s="41"/>
      <c r="X302" s="41"/>
      <c r="Y302" s="41"/>
      <c r="AA302" s="1234"/>
      <c r="AB302" s="1234"/>
      <c r="AC302" s="1234"/>
      <c r="AD302" s="1234"/>
      <c r="AE302" s="1234"/>
      <c r="AF302" s="1234"/>
      <c r="AG302" s="5"/>
      <c r="AH302" s="5"/>
      <c r="AI302" s="44"/>
      <c r="AJ302" s="44"/>
      <c r="AK302" s="44"/>
      <c r="BA302" s="43"/>
    </row>
    <row r="303" spans="2:53" ht="12.95" customHeight="1">
      <c r="B303" s="41" t="s">
        <v>737</v>
      </c>
      <c r="C303" s="41"/>
      <c r="D303" s="41"/>
      <c r="E303" s="41"/>
      <c r="F303" s="41"/>
      <c r="G303" s="41"/>
      <c r="H303" s="1235" t="s">
        <v>2379</v>
      </c>
      <c r="I303" s="1235"/>
      <c r="J303" s="1235"/>
      <c r="K303" s="1235"/>
      <c r="L303" s="1235"/>
      <c r="M303" s="1235"/>
      <c r="N303" s="1233"/>
      <c r="O303" s="1233"/>
      <c r="P303" s="1233"/>
      <c r="Q303" s="1233"/>
      <c r="R303" s="1233"/>
      <c r="S303" s="41"/>
      <c r="T303" s="41" t="s">
        <v>737</v>
      </c>
      <c r="V303" s="41"/>
      <c r="W303" s="41"/>
      <c r="X303" s="41"/>
      <c r="Y303" s="41"/>
      <c r="AA303" s="1235" t="s">
        <v>2409</v>
      </c>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738</v>
      </c>
      <c r="C305" s="41"/>
      <c r="D305" s="41"/>
      <c r="E305" s="41"/>
      <c r="F305" s="41"/>
      <c r="H305" s="1233" t="s">
        <v>2380</v>
      </c>
      <c r="I305" s="1233"/>
      <c r="J305" s="1233"/>
      <c r="K305" s="1233"/>
      <c r="L305" s="1233"/>
      <c r="M305" s="1233"/>
      <c r="N305" s="1233"/>
      <c r="O305" s="1233"/>
      <c r="P305" s="1233"/>
      <c r="Q305" s="1233"/>
      <c r="R305" s="1233"/>
      <c r="T305" s="5" t="s">
        <v>1151</v>
      </c>
      <c r="V305" s="41"/>
      <c r="W305" s="41"/>
      <c r="X305" s="41"/>
      <c r="Y305" s="41"/>
      <c r="AA305" s="1233"/>
      <c r="AB305" s="1233"/>
      <c r="AC305" s="1233"/>
      <c r="AD305" s="1233"/>
      <c r="AE305" s="1233"/>
      <c r="AF305" s="1233"/>
      <c r="AG305" s="1233"/>
      <c r="AH305" s="1233"/>
      <c r="AI305" s="1233"/>
      <c r="AJ305" s="1233"/>
      <c r="AK305" s="1233"/>
      <c r="BA305" s="43"/>
    </row>
    <row r="306" spans="2:53" ht="12.95" customHeight="1">
      <c r="B306" s="41" t="s">
        <v>734</v>
      </c>
      <c r="C306" s="41"/>
      <c r="D306" s="41"/>
      <c r="E306" s="41"/>
      <c r="F306" s="41"/>
      <c r="H306" s="1235" t="s">
        <v>2381</v>
      </c>
      <c r="I306" s="1235"/>
      <c r="J306" s="1235"/>
      <c r="K306" s="1235"/>
      <c r="L306" s="1235"/>
      <c r="M306" s="1235"/>
      <c r="N306" s="1235"/>
      <c r="O306" s="1235"/>
      <c r="P306" s="1235"/>
      <c r="Q306" s="1235"/>
      <c r="R306" s="1235"/>
      <c r="T306" s="41" t="s">
        <v>734</v>
      </c>
      <c r="V306" s="41"/>
      <c r="W306" s="41"/>
      <c r="X306" s="41"/>
      <c r="Y306" s="41"/>
      <c r="AA306" s="1235"/>
      <c r="AB306" s="1235"/>
      <c r="AC306" s="1235"/>
      <c r="AD306" s="1235"/>
      <c r="AE306" s="1235"/>
      <c r="AF306" s="1235"/>
      <c r="AG306" s="1235"/>
      <c r="AH306" s="1235"/>
      <c r="AI306" s="1235"/>
      <c r="AJ306" s="1235"/>
      <c r="AK306" s="1235"/>
      <c r="BA306" s="43"/>
    </row>
    <row r="307" spans="2:53" ht="12.95" customHeight="1">
      <c r="B307" s="41" t="s">
        <v>736</v>
      </c>
      <c r="C307" s="41"/>
      <c r="D307" s="41"/>
      <c r="E307" s="41"/>
      <c r="F307" s="41"/>
      <c r="H307" s="1235" t="s">
        <v>2382</v>
      </c>
      <c r="I307" s="1235"/>
      <c r="J307" s="1235"/>
      <c r="K307" s="1235"/>
      <c r="L307" s="1235"/>
      <c r="M307" s="1235"/>
      <c r="N307" s="1235"/>
      <c r="O307" s="1235"/>
      <c r="P307" s="1235"/>
      <c r="Q307" s="1235"/>
      <c r="R307" s="1235"/>
      <c r="T307" s="41" t="s">
        <v>735</v>
      </c>
      <c r="V307" s="41"/>
      <c r="W307" s="41"/>
      <c r="X307" s="41"/>
      <c r="Y307" s="41"/>
      <c r="AA307" s="1235"/>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35" t="s">
        <v>2383</v>
      </c>
      <c r="I308" s="1235"/>
      <c r="J308" s="1235"/>
      <c r="K308" s="1235"/>
      <c r="L308" s="1235"/>
      <c r="M308" s="1235"/>
      <c r="N308" s="1235"/>
      <c r="O308" s="1235"/>
      <c r="P308" s="1235"/>
      <c r="Q308" s="1235"/>
      <c r="R308" s="1235"/>
      <c r="T308" s="41" t="s">
        <v>399</v>
      </c>
      <c r="V308" s="41"/>
      <c r="W308" s="41"/>
      <c r="X308" s="41"/>
      <c r="Y308" s="41"/>
      <c r="AA308" s="1235"/>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407" t="s">
        <v>2384</v>
      </c>
      <c r="I309" s="1407"/>
      <c r="J309" s="1407"/>
      <c r="K309" s="1407"/>
      <c r="L309" s="1407"/>
      <c r="M309" s="1407"/>
      <c r="N309" s="5" t="s">
        <v>858</v>
      </c>
      <c r="O309" s="5"/>
      <c r="P309" s="1401"/>
      <c r="Q309" s="1401"/>
      <c r="R309" s="1401"/>
      <c r="S309" s="41"/>
      <c r="T309" s="41" t="s">
        <v>400</v>
      </c>
      <c r="V309" s="41"/>
      <c r="W309" s="41"/>
      <c r="X309" s="41"/>
      <c r="Y309" s="41"/>
      <c r="AA309" s="1407"/>
      <c r="AB309" s="1407"/>
      <c r="AC309" s="1407"/>
      <c r="AD309" s="1407"/>
      <c r="AE309" s="1407"/>
      <c r="AF309" s="1407"/>
      <c r="AG309" s="5" t="s">
        <v>858</v>
      </c>
      <c r="AH309" s="5"/>
      <c r="AI309" s="1401"/>
      <c r="AJ309" s="1401"/>
      <c r="AK309" s="1401"/>
      <c r="BA309" s="43"/>
    </row>
    <row r="310" spans="2:53" ht="12.95" customHeight="1">
      <c r="B310" s="41" t="s">
        <v>401</v>
      </c>
      <c r="C310" s="41"/>
      <c r="D310" s="41"/>
      <c r="E310" s="41"/>
      <c r="F310" s="41"/>
      <c r="G310" s="41"/>
      <c r="H310" s="1234" t="s">
        <v>2385</v>
      </c>
      <c r="I310" s="1234"/>
      <c r="J310" s="1234"/>
      <c r="K310" s="1234"/>
      <c r="L310" s="1234"/>
      <c r="M310" s="1234"/>
      <c r="N310" s="5"/>
      <c r="O310" s="5"/>
      <c r="P310" s="44"/>
      <c r="Q310" s="44"/>
      <c r="R310" s="44"/>
      <c r="S310" s="41"/>
      <c r="T310" s="41" t="s">
        <v>401</v>
      </c>
      <c r="V310" s="41"/>
      <c r="W310" s="41"/>
      <c r="X310" s="41"/>
      <c r="Y310" s="41"/>
      <c r="AA310" s="1234"/>
      <c r="AB310" s="1234"/>
      <c r="AC310" s="1234"/>
      <c r="AD310" s="1234"/>
      <c r="AE310" s="1234"/>
      <c r="AF310" s="1234"/>
      <c r="AG310" s="5"/>
      <c r="AH310" s="5"/>
      <c r="AI310" s="44"/>
      <c r="AJ310" s="44"/>
      <c r="AK310" s="44"/>
      <c r="BA310" s="43"/>
    </row>
    <row r="311" spans="2:53" ht="12.95" customHeight="1">
      <c r="B311" s="41" t="s">
        <v>737</v>
      </c>
      <c r="C311" s="41"/>
      <c r="D311" s="41"/>
      <c r="E311" s="41"/>
      <c r="F311" s="41"/>
      <c r="G311" s="41"/>
      <c r="H311" s="1235" t="s">
        <v>2386</v>
      </c>
      <c r="I311" s="1235"/>
      <c r="J311" s="1235"/>
      <c r="K311" s="1235"/>
      <c r="L311" s="1235"/>
      <c r="M311" s="1235"/>
      <c r="N311" s="1233"/>
      <c r="O311" s="1233"/>
      <c r="P311" s="1233"/>
      <c r="Q311" s="1233"/>
      <c r="R311" s="1233"/>
      <c r="S311" s="41"/>
      <c r="T311" s="41" t="s">
        <v>737</v>
      </c>
      <c r="V311" s="41"/>
      <c r="W311" s="41"/>
      <c r="X311" s="41"/>
      <c r="Y311" s="41"/>
      <c r="AA311" s="1235"/>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1193</v>
      </c>
      <c r="C313" s="41"/>
      <c r="D313" s="41"/>
      <c r="E313" s="41"/>
      <c r="F313" s="41"/>
      <c r="H313" s="1233" t="str">
        <f>H305</f>
        <v>Bowman &amp; Company, LLP</v>
      </c>
      <c r="I313" s="1233"/>
      <c r="J313" s="1233"/>
      <c r="K313" s="1233"/>
      <c r="L313" s="1233"/>
      <c r="M313" s="1233"/>
      <c r="N313" s="1233"/>
      <c r="O313" s="1233"/>
      <c r="P313" s="1233"/>
      <c r="Q313" s="1233"/>
      <c r="R313" s="1233"/>
      <c r="T313" s="41" t="s">
        <v>40</v>
      </c>
      <c r="V313" s="41"/>
      <c r="W313" s="41"/>
      <c r="X313" s="41"/>
      <c r="Y313" s="41"/>
      <c r="AA313" s="1233" t="s">
        <v>2410</v>
      </c>
      <c r="AB313" s="1233"/>
      <c r="AC313" s="1233"/>
      <c r="AD313" s="1233"/>
      <c r="AE313" s="1233"/>
      <c r="AF313" s="1233"/>
      <c r="AG313" s="1233"/>
      <c r="AH313" s="1233"/>
      <c r="AI313" s="1233"/>
      <c r="AJ313" s="1233"/>
      <c r="AK313" s="1233"/>
      <c r="BA313" s="43"/>
    </row>
    <row r="314" spans="2:53" ht="12.95" customHeight="1">
      <c r="B314" s="41" t="s">
        <v>734</v>
      </c>
      <c r="C314" s="41"/>
      <c r="D314" s="41"/>
      <c r="E314" s="41"/>
      <c r="F314" s="41"/>
      <c r="H314" s="1235" t="str">
        <f t="shared" ref="H314:H316" si="0">H306</f>
        <v>10100 Trinity Parkway, Suite 310</v>
      </c>
      <c r="I314" s="1235"/>
      <c r="J314" s="1235"/>
      <c r="K314" s="1235"/>
      <c r="L314" s="1235"/>
      <c r="M314" s="1235"/>
      <c r="N314" s="1235"/>
      <c r="O314" s="1235"/>
      <c r="P314" s="1235"/>
      <c r="Q314" s="1235"/>
      <c r="R314" s="1235"/>
      <c r="T314" s="41" t="s">
        <v>734</v>
      </c>
      <c r="V314" s="41"/>
      <c r="W314" s="41"/>
      <c r="X314" s="41"/>
      <c r="Y314" s="41"/>
      <c r="AA314" s="1235" t="s">
        <v>2411</v>
      </c>
      <c r="AB314" s="1235"/>
      <c r="AC314" s="1235"/>
      <c r="AD314" s="1235"/>
      <c r="AE314" s="1235"/>
      <c r="AF314" s="1235"/>
      <c r="AG314" s="1235"/>
      <c r="AH314" s="1235"/>
      <c r="AI314" s="1235"/>
      <c r="AJ314" s="1235"/>
      <c r="AK314" s="1235"/>
      <c r="BA314" s="43"/>
    </row>
    <row r="315" spans="2:53" ht="12.95" customHeight="1">
      <c r="B315" s="41" t="s">
        <v>736</v>
      </c>
      <c r="C315" s="41"/>
      <c r="D315" s="41"/>
      <c r="E315" s="41"/>
      <c r="F315" s="41"/>
      <c r="H315" s="1235" t="str">
        <f t="shared" si="0"/>
        <v>Stockton, CA 95219-7240</v>
      </c>
      <c r="I315" s="1235"/>
      <c r="J315" s="1235"/>
      <c r="K315" s="1235"/>
      <c r="L315" s="1235"/>
      <c r="M315" s="1235"/>
      <c r="N315" s="1235"/>
      <c r="O315" s="1235"/>
      <c r="P315" s="1235"/>
      <c r="Q315" s="1235"/>
      <c r="R315" s="1235"/>
      <c r="T315" s="41" t="s">
        <v>735</v>
      </c>
      <c r="V315" s="41"/>
      <c r="W315" s="41"/>
      <c r="X315" s="41"/>
      <c r="Y315" s="41"/>
      <c r="AA315" s="1235" t="s">
        <v>2412</v>
      </c>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35" t="str">
        <f t="shared" si="0"/>
        <v>Tobbie Wells</v>
      </c>
      <c r="I316" s="1235"/>
      <c r="J316" s="1235"/>
      <c r="K316" s="1235"/>
      <c r="L316" s="1235"/>
      <c r="M316" s="1235"/>
      <c r="N316" s="1235"/>
      <c r="O316" s="1235"/>
      <c r="P316" s="1235"/>
      <c r="Q316" s="1235"/>
      <c r="R316" s="1235"/>
      <c r="T316" s="41" t="s">
        <v>399</v>
      </c>
      <c r="V316" s="41"/>
      <c r="W316" s="41"/>
      <c r="X316" s="41"/>
      <c r="Y316" s="41"/>
      <c r="AA316" s="1235" t="s">
        <v>2413</v>
      </c>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407" t="str">
        <f>H309</f>
        <v>(209) 473-1040</v>
      </c>
      <c r="I317" s="1407"/>
      <c r="J317" s="1407"/>
      <c r="K317" s="1407"/>
      <c r="L317" s="1407"/>
      <c r="M317" s="1407"/>
      <c r="N317" s="5" t="s">
        <v>858</v>
      </c>
      <c r="O317" s="5"/>
      <c r="P317" s="1401"/>
      <c r="Q317" s="1401"/>
      <c r="R317" s="1401"/>
      <c r="S317" s="41"/>
      <c r="T317" s="41" t="s">
        <v>400</v>
      </c>
      <c r="V317" s="41"/>
      <c r="W317" s="41"/>
      <c r="X317" s="41"/>
      <c r="Y317" s="41"/>
      <c r="AA317" s="1485" t="s">
        <v>2414</v>
      </c>
      <c r="AB317" s="1407"/>
      <c r="AC317" s="1407"/>
      <c r="AD317" s="1407"/>
      <c r="AE317" s="1407"/>
      <c r="AF317" s="1407"/>
      <c r="AG317" s="5" t="s">
        <v>858</v>
      </c>
      <c r="AH317" s="5"/>
      <c r="AI317" s="1401"/>
      <c r="AJ317" s="1401"/>
      <c r="AK317" s="1401"/>
      <c r="BA317" s="43"/>
    </row>
    <row r="318" spans="2:53" ht="12.95" customHeight="1">
      <c r="B318" s="41" t="s">
        <v>401</v>
      </c>
      <c r="C318" s="41"/>
      <c r="D318" s="41"/>
      <c r="E318" s="41"/>
      <c r="F318" s="41"/>
      <c r="G318" s="41"/>
      <c r="H318" s="1234" t="str">
        <f>H310</f>
        <v>(209) 473-9771</v>
      </c>
      <c r="I318" s="1234"/>
      <c r="J318" s="1234"/>
      <c r="K318" s="1234"/>
      <c r="L318" s="1234"/>
      <c r="M318" s="1234"/>
      <c r="N318" s="5"/>
      <c r="O318" s="5"/>
      <c r="P318" s="44"/>
      <c r="Q318" s="44"/>
      <c r="R318" s="44"/>
      <c r="S318" s="41"/>
      <c r="T318" s="41" t="s">
        <v>401</v>
      </c>
      <c r="V318" s="41"/>
      <c r="W318" s="41"/>
      <c r="X318" s="41"/>
      <c r="Y318" s="41"/>
      <c r="AA318" s="1234"/>
      <c r="AB318" s="1234"/>
      <c r="AC318" s="1234"/>
      <c r="AD318" s="1234"/>
      <c r="AE318" s="1234"/>
      <c r="AF318" s="1234"/>
      <c r="AG318" s="5"/>
      <c r="AH318" s="5"/>
      <c r="AI318" s="44"/>
      <c r="AJ318" s="44"/>
      <c r="AK318" s="44"/>
      <c r="BA318" s="43"/>
    </row>
    <row r="319" spans="2:53" ht="12.95" customHeight="1">
      <c r="B319" s="41" t="s">
        <v>737</v>
      </c>
      <c r="C319" s="41"/>
      <c r="D319" s="41"/>
      <c r="E319" s="41"/>
      <c r="F319" s="41"/>
      <c r="G319" s="41"/>
      <c r="H319" s="1235" t="str">
        <f>H311</f>
        <v>twells@cpabowman.com</v>
      </c>
      <c r="I319" s="1235"/>
      <c r="J319" s="1235"/>
      <c r="K319" s="1235"/>
      <c r="L319" s="1235"/>
      <c r="M319" s="1235"/>
      <c r="N319" s="1233"/>
      <c r="O319" s="1233"/>
      <c r="P319" s="1233"/>
      <c r="Q319" s="1233"/>
      <c r="R319" s="1233"/>
      <c r="S319" s="41"/>
      <c r="T319" s="41" t="s">
        <v>737</v>
      </c>
      <c r="V319" s="41"/>
      <c r="W319" s="41"/>
      <c r="X319" s="41"/>
      <c r="Y319" s="41"/>
      <c r="AA319" s="1235" t="s">
        <v>2415</v>
      </c>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3"/>
      <c r="I321" s="1233"/>
      <c r="J321" s="1233"/>
      <c r="K321" s="1233"/>
      <c r="L321" s="1233"/>
      <c r="M321" s="1233"/>
      <c r="N321" s="1233"/>
      <c r="O321" s="1233"/>
      <c r="P321" s="1233"/>
      <c r="Q321" s="1233"/>
      <c r="R321" s="1233"/>
      <c r="T321" s="41" t="s">
        <v>41</v>
      </c>
      <c r="V321" s="41"/>
      <c r="W321" s="41"/>
      <c r="X321" s="41"/>
      <c r="Y321" s="41"/>
      <c r="AA321" s="1233" t="str">
        <f>H329</f>
        <v>Kinetic Valuation Group</v>
      </c>
      <c r="AB321" s="1233"/>
      <c r="AC321" s="1233"/>
      <c r="AD321" s="1233"/>
      <c r="AE321" s="1233"/>
      <c r="AF321" s="1233"/>
      <c r="AG321" s="1233"/>
      <c r="AH321" s="1233"/>
      <c r="AI321" s="1233"/>
      <c r="AJ321" s="1233"/>
      <c r="AK321" s="1233"/>
      <c r="BA321" s="43"/>
    </row>
    <row r="322" spans="2:53" ht="12.95" customHeight="1">
      <c r="B322" s="41" t="s">
        <v>734</v>
      </c>
      <c r="C322" s="41"/>
      <c r="D322" s="41"/>
      <c r="E322" s="41"/>
      <c r="F322" s="41"/>
      <c r="H322" s="1235"/>
      <c r="I322" s="1235"/>
      <c r="J322" s="1235"/>
      <c r="K322" s="1235"/>
      <c r="L322" s="1235"/>
      <c r="M322" s="1235"/>
      <c r="N322" s="1235"/>
      <c r="O322" s="1235"/>
      <c r="P322" s="1235"/>
      <c r="Q322" s="1235"/>
      <c r="R322" s="1235"/>
      <c r="T322" s="41" t="s">
        <v>734</v>
      </c>
      <c r="V322" s="41"/>
      <c r="W322" s="41"/>
      <c r="X322" s="41"/>
      <c r="Y322" s="41"/>
      <c r="AA322" s="1235" t="str">
        <f t="shared" ref="AA322:AA324" si="1">H330</f>
        <v>3901 South 147th Street, Suite 144</v>
      </c>
      <c r="AB322" s="1235"/>
      <c r="AC322" s="1235"/>
      <c r="AD322" s="1235"/>
      <c r="AE322" s="1235"/>
      <c r="AF322" s="1235"/>
      <c r="AG322" s="1235"/>
      <c r="AH322" s="1235"/>
      <c r="AI322" s="1235"/>
      <c r="AJ322" s="1235"/>
      <c r="AK322" s="1235"/>
      <c r="BA322" s="43"/>
    </row>
    <row r="323" spans="2:53" ht="12.95" customHeight="1">
      <c r="B323" s="41" t="s">
        <v>736</v>
      </c>
      <c r="C323" s="41"/>
      <c r="D323" s="41"/>
      <c r="E323" s="41"/>
      <c r="F323" s="41"/>
      <c r="H323" s="1235"/>
      <c r="I323" s="1235"/>
      <c r="J323" s="1235"/>
      <c r="K323" s="1235"/>
      <c r="L323" s="1235"/>
      <c r="M323" s="1235"/>
      <c r="N323" s="1235"/>
      <c r="O323" s="1235"/>
      <c r="P323" s="1235"/>
      <c r="Q323" s="1235"/>
      <c r="R323" s="1235"/>
      <c r="T323" s="41" t="s">
        <v>735</v>
      </c>
      <c r="V323" s="41"/>
      <c r="W323" s="41"/>
      <c r="X323" s="41"/>
      <c r="Y323" s="41"/>
      <c r="AA323" s="1235" t="str">
        <f t="shared" si="1"/>
        <v>Omaha, NE 68144</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c r="I324" s="1235"/>
      <c r="J324" s="1235"/>
      <c r="K324" s="1235"/>
      <c r="L324" s="1235"/>
      <c r="M324" s="1235"/>
      <c r="N324" s="1235"/>
      <c r="O324" s="1235"/>
      <c r="P324" s="1235"/>
      <c r="Q324" s="1235"/>
      <c r="R324" s="1235"/>
      <c r="T324" s="41" t="s">
        <v>399</v>
      </c>
      <c r="V324" s="41"/>
      <c r="W324" s="41"/>
      <c r="X324" s="41"/>
      <c r="Y324" s="41"/>
      <c r="AA324" s="1235" t="str">
        <f t="shared" si="1"/>
        <v>Jay Wortmann</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07"/>
      <c r="I325" s="1407"/>
      <c r="J325" s="1407"/>
      <c r="K325" s="1407"/>
      <c r="L325" s="1407"/>
      <c r="M325" s="1407"/>
      <c r="N325" s="5" t="s">
        <v>858</v>
      </c>
      <c r="O325" s="5"/>
      <c r="P325" s="1401"/>
      <c r="Q325" s="1401"/>
      <c r="R325" s="1401"/>
      <c r="S325" s="41"/>
      <c r="T325" s="41" t="s">
        <v>400</v>
      </c>
      <c r="V325" s="41"/>
      <c r="W325" s="41"/>
      <c r="X325" s="41"/>
      <c r="Y325" s="41"/>
      <c r="AA325" s="1407" t="str">
        <f>H333</f>
        <v>(402) 202-0771</v>
      </c>
      <c r="AB325" s="1407"/>
      <c r="AC325" s="1407"/>
      <c r="AD325" s="1407"/>
      <c r="AE325" s="1407"/>
      <c r="AF325" s="1407"/>
      <c r="AG325" s="5" t="s">
        <v>858</v>
      </c>
      <c r="AH325" s="5"/>
      <c r="AI325" s="1401"/>
      <c r="AJ325" s="1401"/>
      <c r="AK325" s="1401"/>
      <c r="BA325" s="43"/>
    </row>
    <row r="326" spans="2:53" ht="12.95" customHeight="1">
      <c r="B326" s="41" t="s">
        <v>401</v>
      </c>
      <c r="C326" s="41"/>
      <c r="D326" s="41"/>
      <c r="E326" s="41"/>
      <c r="F326" s="41"/>
      <c r="G326" s="41"/>
      <c r="H326" s="1234"/>
      <c r="I326" s="1234"/>
      <c r="J326" s="1234"/>
      <c r="K326" s="1234"/>
      <c r="L326" s="1234"/>
      <c r="M326" s="1234"/>
      <c r="N326" s="5"/>
      <c r="O326" s="5"/>
      <c r="P326" s="44"/>
      <c r="Q326" s="44"/>
      <c r="R326" s="44"/>
      <c r="S326" s="41"/>
      <c r="T326" s="41" t="s">
        <v>401</v>
      </c>
      <c r="V326" s="41"/>
      <c r="W326" s="41"/>
      <c r="X326" s="41"/>
      <c r="Y326" s="41"/>
      <c r="AA326" s="1234"/>
      <c r="AB326" s="1234"/>
      <c r="AC326" s="1234"/>
      <c r="AD326" s="1234"/>
      <c r="AE326" s="1234"/>
      <c r="AF326" s="1234"/>
      <c r="AG326" s="5"/>
      <c r="AH326" s="5"/>
      <c r="AI326" s="44"/>
      <c r="AJ326" s="44"/>
      <c r="AK326" s="44"/>
      <c r="BA326" s="43"/>
    </row>
    <row r="327" spans="2:53" ht="12.95" customHeight="1">
      <c r="B327" s="41" t="s">
        <v>737</v>
      </c>
      <c r="C327" s="41"/>
      <c r="D327" s="41"/>
      <c r="E327" s="41"/>
      <c r="F327" s="41"/>
      <c r="G327" s="41"/>
      <c r="H327" s="1235"/>
      <c r="I327" s="1235"/>
      <c r="J327" s="1235"/>
      <c r="K327" s="1235"/>
      <c r="L327" s="1235"/>
      <c r="M327" s="1235"/>
      <c r="N327" s="1233"/>
      <c r="O327" s="1233"/>
      <c r="P327" s="1233"/>
      <c r="Q327" s="1233"/>
      <c r="R327" s="1233"/>
      <c r="S327" s="41"/>
      <c r="T327" s="41" t="s">
        <v>737</v>
      </c>
      <c r="V327" s="41"/>
      <c r="W327" s="41"/>
      <c r="X327" s="41"/>
      <c r="Y327" s="41"/>
      <c r="AA327" s="1235" t="str">
        <f>H335</f>
        <v>jay@kvgteam.com</v>
      </c>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t="s">
        <v>2387</v>
      </c>
      <c r="I329" s="1233"/>
      <c r="J329" s="1233"/>
      <c r="K329" s="1233"/>
      <c r="L329" s="1233"/>
      <c r="M329" s="1233"/>
      <c r="N329" s="1233"/>
      <c r="O329" s="1233"/>
      <c r="P329" s="1233"/>
      <c r="Q329" s="1233"/>
      <c r="R329" s="1233"/>
      <c r="T329" s="5" t="s">
        <v>1152</v>
      </c>
      <c r="V329" s="41"/>
      <c r="W329" s="41"/>
      <c r="X329" s="41"/>
      <c r="Y329" s="41"/>
      <c r="AA329" s="1233" t="s">
        <v>2416</v>
      </c>
      <c r="AB329" s="1233"/>
      <c r="AC329" s="1233"/>
      <c r="AD329" s="1233"/>
      <c r="AE329" s="1233"/>
      <c r="AF329" s="1233"/>
      <c r="AG329" s="1233"/>
      <c r="AH329" s="1233"/>
      <c r="AI329" s="1233"/>
      <c r="AJ329" s="1233"/>
      <c r="AK329" s="1233"/>
      <c r="BA329" s="43"/>
    </row>
    <row r="330" spans="2:53" ht="12.95" customHeight="1">
      <c r="B330" s="41" t="s">
        <v>734</v>
      </c>
      <c r="C330" s="41"/>
      <c r="D330" s="41"/>
      <c r="E330" s="41"/>
      <c r="F330" s="41"/>
      <c r="H330" s="1235" t="s">
        <v>2388</v>
      </c>
      <c r="I330" s="1235"/>
      <c r="J330" s="1235"/>
      <c r="K330" s="1235"/>
      <c r="L330" s="1235"/>
      <c r="M330" s="1235"/>
      <c r="N330" s="1235"/>
      <c r="O330" s="1235"/>
      <c r="P330" s="1235"/>
      <c r="Q330" s="1235"/>
      <c r="R330" s="1235"/>
      <c r="T330" s="41" t="s">
        <v>734</v>
      </c>
      <c r="V330" s="41"/>
      <c r="W330" s="41"/>
      <c r="X330" s="41"/>
      <c r="Y330" s="41"/>
      <c r="AA330" s="1235" t="s">
        <v>2417</v>
      </c>
      <c r="AB330" s="1235"/>
      <c r="AC330" s="1235"/>
      <c r="AD330" s="1235"/>
      <c r="AE330" s="1235"/>
      <c r="AF330" s="1235"/>
      <c r="AG330" s="1235"/>
      <c r="AH330" s="1235"/>
      <c r="AI330" s="1235"/>
      <c r="AJ330" s="1235"/>
      <c r="AK330" s="1235"/>
      <c r="BA330" s="43"/>
    </row>
    <row r="331" spans="2:53" ht="12.95" customHeight="1">
      <c r="B331" s="41" t="s">
        <v>736</v>
      </c>
      <c r="C331" s="41"/>
      <c r="D331" s="41"/>
      <c r="E331" s="41"/>
      <c r="F331" s="41"/>
      <c r="G331" s="41"/>
      <c r="H331" s="1235" t="s">
        <v>2389</v>
      </c>
      <c r="I331" s="1235"/>
      <c r="J331" s="1235"/>
      <c r="K331" s="1235"/>
      <c r="L331" s="1235"/>
      <c r="M331" s="1235"/>
      <c r="N331" s="1235"/>
      <c r="O331" s="1235"/>
      <c r="P331" s="1235"/>
      <c r="Q331" s="1235"/>
      <c r="R331" s="1235"/>
      <c r="T331" s="41" t="s">
        <v>735</v>
      </c>
      <c r="V331" s="41"/>
      <c r="W331" s="41"/>
      <c r="X331" s="41"/>
      <c r="Y331" s="41"/>
      <c r="AA331" s="1235" t="s">
        <v>2395</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t="s">
        <v>2390</v>
      </c>
      <c r="I332" s="1235"/>
      <c r="J332" s="1235"/>
      <c r="K332" s="1235"/>
      <c r="L332" s="1235"/>
      <c r="M332" s="1235"/>
      <c r="N332" s="1235"/>
      <c r="O332" s="1235"/>
      <c r="P332" s="1235"/>
      <c r="Q332" s="1235"/>
      <c r="R332" s="1235"/>
      <c r="T332" s="41" t="s">
        <v>399</v>
      </c>
      <c r="V332" s="41"/>
      <c r="W332" s="41"/>
      <c r="X332" s="41"/>
      <c r="Y332" s="41"/>
      <c r="AA332" s="1235" t="s">
        <v>2418</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07" t="s">
        <v>2391</v>
      </c>
      <c r="I333" s="1407"/>
      <c r="J333" s="1407"/>
      <c r="K333" s="1407"/>
      <c r="L333" s="1407"/>
      <c r="M333" s="1407"/>
      <c r="N333" s="5" t="s">
        <v>858</v>
      </c>
      <c r="O333" s="5"/>
      <c r="P333" s="1401"/>
      <c r="Q333" s="1401"/>
      <c r="R333" s="1401"/>
      <c r="T333" s="41" t="s">
        <v>400</v>
      </c>
      <c r="V333" s="41"/>
      <c r="W333" s="41"/>
      <c r="X333" s="41"/>
      <c r="Y333" s="41"/>
      <c r="AA333" s="1407" t="s">
        <v>2419</v>
      </c>
      <c r="AB333" s="1407"/>
      <c r="AC333" s="1407"/>
      <c r="AD333" s="1407"/>
      <c r="AE333" s="1407"/>
      <c r="AF333" s="1407"/>
      <c r="AG333" s="5" t="s">
        <v>858</v>
      </c>
      <c r="AH333" s="5"/>
      <c r="AI333" s="1401"/>
      <c r="AJ333" s="1401"/>
      <c r="AK333" s="1401"/>
      <c r="BA333" s="43"/>
    </row>
    <row r="334" spans="2:53" ht="12.95" customHeight="1">
      <c r="B334" s="41" t="s">
        <v>401</v>
      </c>
      <c r="C334" s="41"/>
      <c r="D334" s="41"/>
      <c r="E334" s="41"/>
      <c r="F334" s="41"/>
      <c r="G334" s="41"/>
      <c r="H334" s="1234"/>
      <c r="I334" s="1234"/>
      <c r="J334" s="1234"/>
      <c r="K334" s="1234"/>
      <c r="L334" s="1234"/>
      <c r="M334" s="1234"/>
      <c r="N334" s="5"/>
      <c r="O334" s="5"/>
      <c r="P334" s="44"/>
      <c r="Q334" s="44"/>
      <c r="R334" s="44"/>
      <c r="T334" s="41" t="s">
        <v>401</v>
      </c>
      <c r="V334" s="41"/>
      <c r="W334" s="41"/>
      <c r="X334" s="41"/>
      <c r="Y334" s="41"/>
      <c r="AA334" s="1234" t="s">
        <v>2420</v>
      </c>
      <c r="AB334" s="1234"/>
      <c r="AC334" s="1234"/>
      <c r="AD334" s="1234"/>
      <c r="AE334" s="1234"/>
      <c r="AF334" s="1234"/>
      <c r="AG334" s="5"/>
      <c r="AH334" s="5"/>
      <c r="AI334" s="44"/>
      <c r="AJ334" s="44"/>
      <c r="AK334" s="44"/>
      <c r="BA334" s="43"/>
    </row>
    <row r="335" spans="2:53" ht="12.95" customHeight="1">
      <c r="B335" s="41" t="s">
        <v>737</v>
      </c>
      <c r="C335" s="41"/>
      <c r="D335" s="41"/>
      <c r="E335" s="41"/>
      <c r="F335" s="41"/>
      <c r="G335" s="41"/>
      <c r="H335" s="1235" t="s">
        <v>2392</v>
      </c>
      <c r="I335" s="1235"/>
      <c r="J335" s="1235"/>
      <c r="K335" s="1235"/>
      <c r="L335" s="1235"/>
      <c r="M335" s="1235"/>
      <c r="N335" s="1233"/>
      <c r="O335" s="1233"/>
      <c r="P335" s="1233"/>
      <c r="Q335" s="1233"/>
      <c r="R335" s="1233"/>
      <c r="T335" s="41" t="s">
        <v>737</v>
      </c>
      <c r="V335" s="41"/>
      <c r="W335" s="41"/>
      <c r="X335" s="41"/>
      <c r="Y335" s="41"/>
      <c r="AA335" s="1235" t="s">
        <v>2421</v>
      </c>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t="s">
        <v>2393</v>
      </c>
      <c r="I337" s="1233"/>
      <c r="J337" s="1233"/>
      <c r="K337" s="1233"/>
      <c r="L337" s="1233"/>
      <c r="M337" s="1233"/>
      <c r="N337" s="1233"/>
      <c r="O337" s="1233"/>
      <c r="P337" s="1233"/>
      <c r="Q337" s="1233"/>
      <c r="R337" s="1233"/>
      <c r="T337" s="365" t="s">
        <v>1192</v>
      </c>
      <c r="AA337" s="1233"/>
      <c r="AB337" s="1233"/>
      <c r="AC337" s="1233"/>
      <c r="AD337" s="1233"/>
      <c r="AE337" s="1233"/>
      <c r="AF337" s="1233"/>
      <c r="AG337" s="1233"/>
      <c r="AH337" s="1233"/>
      <c r="AI337" s="1233"/>
      <c r="AJ337" s="1233"/>
      <c r="AK337" s="1233"/>
      <c r="BA337" s="43"/>
    </row>
    <row r="338" spans="1:53" ht="12.95" customHeight="1">
      <c r="B338" s="365" t="s">
        <v>734</v>
      </c>
      <c r="C338" s="365"/>
      <c r="D338" s="365"/>
      <c r="E338" s="365"/>
      <c r="F338" s="365"/>
      <c r="G338" s="365"/>
      <c r="H338" s="1235" t="s">
        <v>2394</v>
      </c>
      <c r="I338" s="1235"/>
      <c r="J338" s="1235"/>
      <c r="K338" s="1235"/>
      <c r="L338" s="1235"/>
      <c r="M338" s="1235"/>
      <c r="N338" s="1235"/>
      <c r="O338" s="1235"/>
      <c r="P338" s="1235"/>
      <c r="Q338" s="1235"/>
      <c r="R338" s="1235"/>
      <c r="T338" s="41" t="s">
        <v>734</v>
      </c>
      <c r="AA338" s="1235"/>
      <c r="AB338" s="1235"/>
      <c r="AC338" s="1235"/>
      <c r="AD338" s="1235"/>
      <c r="AE338" s="1235"/>
      <c r="AF338" s="1235"/>
      <c r="AG338" s="1235"/>
      <c r="AH338" s="1235"/>
      <c r="AI338" s="1235"/>
      <c r="AJ338" s="1235"/>
      <c r="AK338" s="1235"/>
      <c r="BA338" s="43"/>
    </row>
    <row r="339" spans="1:53" ht="12.95" customHeight="1">
      <c r="B339" s="365" t="s">
        <v>736</v>
      </c>
      <c r="C339" s="365"/>
      <c r="D339" s="365"/>
      <c r="E339" s="365"/>
      <c r="F339" s="365"/>
      <c r="G339" s="365"/>
      <c r="H339" s="1235" t="s">
        <v>2395</v>
      </c>
      <c r="I339" s="1235"/>
      <c r="J339" s="1235"/>
      <c r="K339" s="1235"/>
      <c r="L339" s="1235"/>
      <c r="M339" s="1235"/>
      <c r="N339" s="1235"/>
      <c r="O339" s="1235"/>
      <c r="P339" s="1235"/>
      <c r="Q339" s="1235"/>
      <c r="R339" s="1235"/>
      <c r="T339" s="41" t="s">
        <v>735</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t="s">
        <v>2396</v>
      </c>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07" t="s">
        <v>2397</v>
      </c>
      <c r="I341" s="1407"/>
      <c r="J341" s="1407"/>
      <c r="K341" s="1407"/>
      <c r="L341" s="1407"/>
      <c r="M341" s="1407"/>
      <c r="N341" s="5" t="s">
        <v>858</v>
      </c>
      <c r="O341" s="5"/>
      <c r="P341" s="1401"/>
      <c r="Q341" s="1401"/>
      <c r="R341" s="1401"/>
      <c r="T341" s="41" t="s">
        <v>400</v>
      </c>
      <c r="AA341" s="1407"/>
      <c r="AB341" s="1407"/>
      <c r="AC341" s="1407"/>
      <c r="AD341" s="1407"/>
      <c r="AE341" s="1407"/>
      <c r="AF341" s="1407"/>
      <c r="AG341" s="5" t="s">
        <v>858</v>
      </c>
      <c r="AH341" s="5"/>
      <c r="AI341" s="1401"/>
      <c r="AJ341" s="1401"/>
      <c r="AK341" s="1401"/>
    </row>
    <row r="342" spans="1:53" ht="12.95"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2.95" customHeight="1">
      <c r="B343" s="365" t="s">
        <v>737</v>
      </c>
      <c r="C343" s="365"/>
      <c r="D343" s="365"/>
      <c r="E343" s="365"/>
      <c r="F343" s="365"/>
      <c r="G343" s="365"/>
      <c r="H343" s="1235" t="s">
        <v>2398</v>
      </c>
      <c r="I343" s="1235"/>
      <c r="J343" s="1235"/>
      <c r="K343" s="1235"/>
      <c r="L343" s="1235"/>
      <c r="M343" s="1235"/>
      <c r="N343" s="1233"/>
      <c r="O343" s="1233"/>
      <c r="P343" s="1233"/>
      <c r="Q343" s="1233"/>
      <c r="R343" s="1233"/>
      <c r="T343" s="41" t="s">
        <v>737</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2" t="s">
        <v>526</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2.95"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232" t="s">
        <v>132</v>
      </c>
      <c r="N349" s="1232"/>
      <c r="P349" t="s">
        <v>2060</v>
      </c>
      <c r="AJ349" s="1232" t="s">
        <v>511</v>
      </c>
      <c r="AK349" s="1232"/>
    </row>
    <row r="350" spans="1:53" ht="12.95" customHeight="1">
      <c r="D350" s="41" t="s">
        <v>1983</v>
      </c>
      <c r="M350" s="1232" t="s">
        <v>132</v>
      </c>
      <c r="N350" s="1232"/>
      <c r="P350" s="41" t="s">
        <v>2061</v>
      </c>
      <c r="AJ350" s="1237">
        <v>0</v>
      </c>
      <c r="AK350" s="1237"/>
    </row>
    <row r="351" spans="1:53" ht="12.95" customHeight="1">
      <c r="D351" t="s">
        <v>334</v>
      </c>
      <c r="M351" s="1232" t="s">
        <v>132</v>
      </c>
      <c r="N351" s="1232"/>
      <c r="P351" t="s">
        <v>2062</v>
      </c>
      <c r="AJ351" s="1232" t="s">
        <v>116</v>
      </c>
      <c r="AK351" s="1232"/>
    </row>
    <row r="352" spans="1:53" ht="12.95" customHeight="1">
      <c r="D352" t="s">
        <v>335</v>
      </c>
      <c r="M352" s="1232" t="s">
        <v>116</v>
      </c>
      <c r="N352" s="123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2" t="s">
        <v>116</v>
      </c>
      <c r="O357" s="1232"/>
      <c r="P357" s="49"/>
      <c r="Q357" s="49"/>
      <c r="R357" s="49"/>
      <c r="S357" s="49"/>
      <c r="T357" s="49"/>
      <c r="U357" s="49"/>
      <c r="V357" s="49"/>
      <c r="W357" s="49"/>
      <c r="X357" s="49"/>
      <c r="Y357" s="49"/>
      <c r="Z357" s="49"/>
      <c r="AC357" s="49"/>
      <c r="AD357" s="49"/>
      <c r="AE357" s="49"/>
    </row>
    <row r="358" spans="1:57" ht="12.95" customHeight="1">
      <c r="E358" t="s">
        <v>768</v>
      </c>
      <c r="Y358" s="1232" t="s">
        <v>132</v>
      </c>
      <c r="Z358" s="123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2" t="s">
        <v>116</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625</v>
      </c>
      <c r="F363" s="5"/>
      <c r="G363" s="5"/>
      <c r="H363" s="5"/>
      <c r="I363" s="5"/>
      <c r="J363" s="5"/>
      <c r="K363" s="5"/>
      <c r="L363" s="5"/>
      <c r="N363" s="1382" t="s">
        <v>2467</v>
      </c>
      <c r="O363" s="1285"/>
      <c r="P363" s="1285"/>
      <c r="Q363" s="1285"/>
      <c r="R363" s="5"/>
      <c r="U363" s="5" t="s">
        <v>626</v>
      </c>
      <c r="V363" s="5"/>
      <c r="W363" s="5"/>
      <c r="X363" s="5"/>
      <c r="Y363" s="5"/>
      <c r="Z363" s="5"/>
      <c r="AA363" s="5"/>
      <c r="AB363" s="5"/>
      <c r="AC363" s="1285">
        <v>8</v>
      </c>
      <c r="AD363" s="1285"/>
      <c r="AE363" s="1285"/>
      <c r="AF363" s="1285"/>
      <c r="BE363" t="s">
        <v>116</v>
      </c>
    </row>
    <row r="364" spans="1:57" ht="12.95" customHeight="1">
      <c r="E364" s="5" t="s">
        <v>627</v>
      </c>
      <c r="F364" s="5"/>
      <c r="G364" s="5"/>
      <c r="H364" s="5"/>
      <c r="I364" s="5"/>
      <c r="J364" s="5"/>
      <c r="K364" s="5"/>
      <c r="L364" s="5"/>
      <c r="N364" s="1285">
        <v>8</v>
      </c>
      <c r="O364" s="1285"/>
      <c r="P364" s="1285"/>
      <c r="Q364" s="1285"/>
      <c r="R364" s="5"/>
      <c r="U364" s="5" t="s">
        <v>628</v>
      </c>
      <c r="V364" s="5"/>
      <c r="W364" s="5"/>
      <c r="X364" s="5"/>
      <c r="Y364" s="5"/>
      <c r="Z364" s="5"/>
      <c r="AA364" s="5"/>
      <c r="AB364" s="5"/>
      <c r="AC364" s="1285">
        <v>73</v>
      </c>
      <c r="AD364" s="1285"/>
      <c r="AE364" s="1285"/>
      <c r="AF364" s="1285"/>
    </row>
    <row r="365" spans="1:57" ht="12.95" customHeight="1">
      <c r="E365" s="5" t="s">
        <v>68</v>
      </c>
      <c r="F365" s="5"/>
      <c r="G365" s="5"/>
      <c r="H365" s="5"/>
      <c r="I365" s="5"/>
      <c r="J365" s="5"/>
      <c r="K365" s="5"/>
      <c r="L365" s="5"/>
      <c r="N365" s="1382" t="s">
        <v>2512</v>
      </c>
      <c r="O365" s="1285"/>
      <c r="P365" s="1285"/>
      <c r="Q365" s="1285"/>
      <c r="R365" s="5"/>
      <c r="V365" s="5"/>
      <c r="W365" s="5"/>
      <c r="X365" s="5"/>
      <c r="Y365" s="5"/>
      <c r="Z365" s="5"/>
      <c r="AA365" s="5"/>
      <c r="AB365" s="5"/>
    </row>
    <row r="366" spans="1:57" ht="12.95" customHeight="1">
      <c r="E366" s="5" t="s">
        <v>69</v>
      </c>
      <c r="F366" s="5"/>
      <c r="G366" s="5"/>
      <c r="H366" s="5"/>
      <c r="I366" s="5"/>
      <c r="J366" s="5"/>
      <c r="K366" s="5"/>
      <c r="L366" s="5"/>
      <c r="N366" s="1481" t="s">
        <v>2422</v>
      </c>
      <c r="O366" s="1482"/>
      <c r="P366" s="1482"/>
      <c r="Q366" s="1482"/>
      <c r="R366" s="1482"/>
      <c r="S366" s="1482"/>
      <c r="T366" s="1482"/>
      <c r="U366" s="1482"/>
      <c r="V366" s="1482"/>
      <c r="W366" s="1482"/>
      <c r="X366" s="1482"/>
      <c r="Y366" s="1482"/>
      <c r="Z366" s="1482"/>
      <c r="AA366" s="1482"/>
      <c r="AB366" s="1482"/>
      <c r="AC366" s="1482"/>
      <c r="AD366" s="1482"/>
      <c r="AE366" s="1482"/>
      <c r="AF366" s="1482"/>
    </row>
    <row r="367" spans="1:57" ht="12.95" customHeight="1">
      <c r="E367" s="5"/>
      <c r="F367" s="5"/>
      <c r="G367" s="5"/>
      <c r="H367" s="5"/>
      <c r="I367" s="5"/>
      <c r="J367" s="5"/>
      <c r="K367" s="5"/>
      <c r="L367" s="5"/>
      <c r="N367" s="1483"/>
      <c r="O367" s="1483"/>
      <c r="P367" s="1483"/>
      <c r="Q367" s="1483"/>
      <c r="R367" s="1483"/>
      <c r="S367" s="1483"/>
      <c r="T367" s="1483"/>
      <c r="U367" s="1483"/>
      <c r="V367" s="1483"/>
      <c r="W367" s="1483"/>
      <c r="X367" s="1483"/>
      <c r="Y367" s="1483"/>
      <c r="Z367" s="1483"/>
      <c r="AA367" s="1483"/>
      <c r="AB367" s="1483"/>
      <c r="AC367" s="1483"/>
      <c r="AD367" s="1483"/>
      <c r="AE367" s="1483"/>
      <c r="AF367" s="1483"/>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58" t="s">
        <v>2228</v>
      </c>
      <c r="Q370" s="365" t="s">
        <v>246</v>
      </c>
      <c r="R370" s="365"/>
      <c r="S370" s="1296"/>
      <c r="T370" s="1296"/>
      <c r="U370" s="374" t="s">
        <v>247</v>
      </c>
      <c r="V370" s="1296"/>
      <c r="W370" s="1296"/>
      <c r="X370" s="365"/>
      <c r="Z370" s="365"/>
      <c r="AA370" s="958" t="s">
        <v>2228</v>
      </c>
      <c r="AB370" s="365" t="s">
        <v>246</v>
      </c>
      <c r="AC370" s="365"/>
      <c r="AD370" s="1296"/>
      <c r="AE370" s="1296"/>
      <c r="AF370" s="374" t="s">
        <v>247</v>
      </c>
      <c r="AG370" s="1296"/>
      <c r="AH370" s="1296"/>
    </row>
    <row r="371" spans="1:36" ht="12.95" customHeight="1">
      <c r="D371" s="365"/>
      <c r="E371" s="365" t="s">
        <v>1287</v>
      </c>
      <c r="F371" s="365"/>
      <c r="G371" s="365"/>
      <c r="H371" s="365"/>
      <c r="I371" s="365"/>
      <c r="J371" s="365"/>
      <c r="K371" s="365"/>
      <c r="L371" s="365"/>
      <c r="M371" s="365"/>
      <c r="N371" s="1296"/>
      <c r="O371" s="1296"/>
      <c r="P371" s="129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2.95" customHeight="1">
      <c r="D374" s="365"/>
      <c r="E374" s="365"/>
      <c r="F374" s="365"/>
      <c r="G374" s="518" t="s">
        <v>1337</v>
      </c>
      <c r="H374" s="365"/>
      <c r="I374" s="365"/>
      <c r="J374" s="365"/>
      <c r="K374" s="365"/>
      <c r="L374" s="365"/>
      <c r="M374" s="365"/>
      <c r="N374" s="365"/>
      <c r="O374" s="365"/>
      <c r="P374" s="365"/>
      <c r="Q374" s="365"/>
      <c r="R374" s="365"/>
      <c r="S374" s="365"/>
      <c r="T374" s="365"/>
      <c r="U374" s="365"/>
      <c r="V374" s="1415" t="s">
        <v>132</v>
      </c>
      <c r="W374" s="1415"/>
      <c r="X374" s="365"/>
      <c r="Y374" s="461"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3" t="s">
        <v>2423</v>
      </c>
      <c r="K378" s="1233"/>
      <c r="L378" s="1233"/>
      <c r="M378" s="1233"/>
      <c r="N378" s="1233"/>
      <c r="O378" s="1233"/>
      <c r="P378" s="1233"/>
      <c r="Q378" s="1233"/>
      <c r="R378" s="1233"/>
      <c r="S378" s="1233"/>
      <c r="T378" s="1233"/>
      <c r="U378" s="1233"/>
      <c r="V378" s="12" t="s">
        <v>745</v>
      </c>
      <c r="W378" s="12"/>
      <c r="X378" s="12"/>
      <c r="Y378" s="12"/>
      <c r="Z378" s="12"/>
      <c r="AA378" s="12"/>
      <c r="AB378" s="12"/>
      <c r="AC378" s="1233" t="s">
        <v>2425</v>
      </c>
      <c r="AD378" s="1233"/>
      <c r="AE378" s="1233"/>
      <c r="AF378" s="1233"/>
      <c r="AG378" s="1233"/>
      <c r="AH378" s="1233"/>
      <c r="AI378" s="1233"/>
      <c r="AJ378" s="1233"/>
    </row>
    <row r="379" spans="1:36" ht="12.95" customHeight="1">
      <c r="D379" s="41" t="s">
        <v>2063</v>
      </c>
      <c r="J379" s="1235" t="s">
        <v>2430</v>
      </c>
      <c r="K379" s="1235"/>
      <c r="L379" s="1235"/>
      <c r="M379" s="1235"/>
      <c r="N379" s="1235"/>
      <c r="O379" s="1235"/>
      <c r="P379" s="1235"/>
      <c r="Q379" s="1235"/>
      <c r="R379" s="1235"/>
      <c r="S379" s="1235"/>
      <c r="T379" s="1235"/>
      <c r="U379" s="1235"/>
      <c r="V379" s="41" t="s">
        <v>2063</v>
      </c>
      <c r="W379" s="12"/>
      <c r="X379" s="12"/>
      <c r="Y379" s="12"/>
      <c r="Z379" s="12"/>
      <c r="AA379" s="12"/>
      <c r="AB379" s="12"/>
      <c r="AC379" s="1233" t="s">
        <v>2424</v>
      </c>
      <c r="AD379" s="1233"/>
      <c r="AE379" s="1233"/>
      <c r="AF379" s="1233"/>
      <c r="AG379" s="1233"/>
      <c r="AH379" s="1233"/>
      <c r="AI379" s="1233"/>
      <c r="AJ379" s="1233"/>
    </row>
    <row r="380" spans="1:36" ht="12.95" customHeight="1">
      <c r="D380" s="41" t="s">
        <v>575</v>
      </c>
      <c r="J380" s="1235" t="s">
        <v>2429</v>
      </c>
      <c r="K380" s="1235"/>
      <c r="L380" s="1235"/>
      <c r="M380" s="1235"/>
      <c r="N380" s="1235"/>
      <c r="O380" s="1235"/>
      <c r="P380" s="1235"/>
      <c r="Q380" s="1235"/>
      <c r="R380" s="1235"/>
      <c r="S380" s="1235"/>
      <c r="T380" s="1235"/>
      <c r="U380" s="1235"/>
      <c r="V380" s="41" t="s">
        <v>575</v>
      </c>
      <c r="W380" s="12"/>
      <c r="X380" s="12"/>
      <c r="Y380" s="12"/>
      <c r="Z380" s="12"/>
      <c r="AA380" s="12"/>
      <c r="AB380" s="12"/>
      <c r="AC380" s="1233" t="s">
        <v>2428</v>
      </c>
      <c r="AD380" s="1233"/>
      <c r="AE380" s="1233"/>
      <c r="AF380" s="1233"/>
      <c r="AG380" s="1233"/>
      <c r="AH380" s="1233"/>
      <c r="AI380" s="1233"/>
      <c r="AJ380" s="1233"/>
    </row>
    <row r="381" spans="1:36" ht="12.95" customHeight="1">
      <c r="D381" t="s">
        <v>2064</v>
      </c>
      <c r="J381" s="1147" t="s">
        <v>2426</v>
      </c>
      <c r="K381" s="1147"/>
      <c r="L381" s="1147"/>
      <c r="M381" s="1147"/>
      <c r="N381" s="1147"/>
      <c r="O381" s="1147"/>
      <c r="P381" s="1147"/>
      <c r="Q381" s="1147"/>
      <c r="R381" s="1147"/>
      <c r="S381" s="1147"/>
      <c r="T381" s="1147"/>
      <c r="U381" s="1147"/>
      <c r="V381" s="1233" t="s">
        <v>2431</v>
      </c>
      <c r="W381" s="1233"/>
      <c r="X381" s="1233"/>
      <c r="Y381" s="1233"/>
      <c r="Z381" s="1233"/>
      <c r="AA381" s="1233"/>
      <c r="AB381" s="1233"/>
      <c r="AC381" s="1233"/>
      <c r="AD381" s="1233"/>
      <c r="AE381" s="1233"/>
      <c r="AF381" s="1233"/>
      <c r="AG381" s="1233"/>
      <c r="AH381" s="1233"/>
      <c r="AI381" s="1233"/>
      <c r="AJ381" s="1233"/>
    </row>
    <row r="382" spans="1:36" ht="12.95" customHeight="1">
      <c r="D382" t="s">
        <v>584</v>
      </c>
      <c r="Q382" s="1383">
        <v>44925</v>
      </c>
      <c r="R382" s="1383"/>
      <c r="S382" s="1383"/>
      <c r="T382" s="1383"/>
      <c r="U382" s="1383"/>
      <c r="V382" t="s">
        <v>179</v>
      </c>
      <c r="AI382" s="1232" t="s">
        <v>511</v>
      </c>
      <c r="AJ382" s="1232"/>
    </row>
    <row r="383" spans="1:36" ht="12.95" customHeight="1">
      <c r="D383" t="s">
        <v>585</v>
      </c>
      <c r="Q383" s="1375"/>
      <c r="R383" s="1150"/>
      <c r="S383" s="1150"/>
      <c r="T383" s="1150"/>
      <c r="U383" s="1150"/>
      <c r="W383" s="29" t="s">
        <v>20</v>
      </c>
      <c r="AG383" s="1342"/>
      <c r="AH383" s="1342"/>
      <c r="AI383" s="1342"/>
      <c r="AJ383" s="1342"/>
    </row>
    <row r="384" spans="1:36" ht="12.95" customHeight="1">
      <c r="D384" t="s">
        <v>289</v>
      </c>
      <c r="Q384" s="1171">
        <f>SUM('Sources and Uses Budget'!C4,'Sources and Uses Budget'!C9)</f>
        <v>24490000</v>
      </c>
      <c r="R384" s="1171"/>
      <c r="S384" s="1171"/>
      <c r="T384" s="1171"/>
      <c r="U384" s="1171"/>
      <c r="V384" s="41" t="s">
        <v>2065</v>
      </c>
      <c r="AG384" s="1517"/>
      <c r="AH384" s="1517"/>
      <c r="AI384" s="1517"/>
      <c r="AJ384" s="1517"/>
    </row>
    <row r="385" spans="4:36" ht="12.95" customHeight="1">
      <c r="D385" t="s">
        <v>400</v>
      </c>
      <c r="I385" s="1485" t="s">
        <v>2427</v>
      </c>
      <c r="J385" s="1485"/>
      <c r="K385" s="1485"/>
      <c r="L385" s="1485"/>
      <c r="M385" s="1485"/>
      <c r="N385" s="1485"/>
      <c r="Q385" s="41" t="s">
        <v>858</v>
      </c>
      <c r="S385" s="1530"/>
      <c r="T385" s="1530"/>
      <c r="U385" s="1530"/>
      <c r="V385" t="s">
        <v>19</v>
      </c>
      <c r="AI385" s="1232" t="s">
        <v>511</v>
      </c>
      <c r="AJ385" s="1232"/>
    </row>
    <row r="386" spans="4:36" ht="12.95" customHeight="1">
      <c r="D386" t="s">
        <v>180</v>
      </c>
      <c r="Q386" s="1145"/>
      <c r="R386" s="1145"/>
      <c r="S386" s="1145"/>
      <c r="T386" s="1145"/>
      <c r="U386" s="1145"/>
      <c r="V386" t="s">
        <v>181</v>
      </c>
      <c r="AG386" s="1342"/>
      <c r="AH386" s="1342"/>
      <c r="AI386" s="1342"/>
      <c r="AJ386" s="1342"/>
    </row>
    <row r="387" spans="4:36" ht="12.95" customHeight="1">
      <c r="D387" t="s">
        <v>28</v>
      </c>
      <c r="Q387" s="1396">
        <v>1.2500000000000001E-2</v>
      </c>
      <c r="R387" s="1396"/>
      <c r="S387" s="1396"/>
      <c r="T387" s="1396"/>
      <c r="U387" s="1396"/>
      <c r="V387" t="s">
        <v>1756</v>
      </c>
      <c r="AG387" s="1342">
        <v>0</v>
      </c>
      <c r="AH387" s="1342"/>
      <c r="AI387" s="1342"/>
      <c r="AJ387" s="1342"/>
    </row>
    <row r="388" spans="4:36" ht="12.95" customHeight="1">
      <c r="D388" t="s">
        <v>2066</v>
      </c>
      <c r="AG388" s="1342"/>
      <c r="AH388" s="1342"/>
      <c r="AI388" s="1342"/>
      <c r="AJ388" s="1342"/>
    </row>
    <row r="389" spans="4:36" ht="12.95" customHeight="1">
      <c r="AG389" s="850"/>
      <c r="AH389" s="850"/>
      <c r="AI389" s="850"/>
      <c r="AJ389" s="850"/>
    </row>
    <row r="390" spans="4:36" ht="12.95" customHeight="1">
      <c r="D390" s="41" t="s">
        <v>2341</v>
      </c>
      <c r="AG390" s="850"/>
      <c r="AH390" s="850"/>
      <c r="AI390" s="1232" t="s">
        <v>116</v>
      </c>
      <c r="AJ390" s="1232"/>
    </row>
    <row r="391" spans="4:36" ht="12.95" customHeight="1">
      <c r="D391" s="41" t="s">
        <v>2067</v>
      </c>
      <c r="T391" s="1297"/>
      <c r="U391" s="1297"/>
      <c r="V391" s="1297"/>
      <c r="W391" s="1297"/>
      <c r="X391" s="1297"/>
      <c r="Y391" s="1297"/>
      <c r="Z391" s="1297"/>
      <c r="AA391" s="1297"/>
      <c r="AB391" s="1297"/>
      <c r="AC391" s="1297"/>
      <c r="AD391" s="1297"/>
      <c r="AE391" s="1297"/>
      <c r="AF391" s="1297"/>
      <c r="AG391" s="1297"/>
      <c r="AH391" s="1297"/>
      <c r="AI391" s="1297"/>
      <c r="AJ391" s="1297"/>
    </row>
    <row r="392" spans="4:36" ht="12.95" customHeight="1">
      <c r="D392" s="41" t="s">
        <v>2068</v>
      </c>
      <c r="T392" s="1297"/>
      <c r="U392" s="1297"/>
      <c r="V392" s="1297"/>
      <c r="W392" s="1297"/>
      <c r="X392" s="1297"/>
      <c r="Y392" s="1297"/>
      <c r="Z392" s="1297"/>
      <c r="AA392" s="1297"/>
      <c r="AB392" s="1297"/>
      <c r="AC392" s="1297"/>
      <c r="AD392" s="1297"/>
      <c r="AE392" s="1297"/>
      <c r="AF392" s="1297"/>
      <c r="AG392" s="1297"/>
      <c r="AH392" s="1297"/>
      <c r="AI392" s="1297"/>
      <c r="AJ392" s="1297"/>
    </row>
    <row r="393" spans="4:36" ht="12.95" customHeight="1">
      <c r="AG393" s="850"/>
      <c r="AH393" s="850"/>
      <c r="AI393" s="850"/>
      <c r="AJ393" s="850"/>
    </row>
    <row r="394" spans="4:36" ht="12.95" customHeight="1">
      <c r="D394" s="41" t="s">
        <v>2069</v>
      </c>
      <c r="S394" s="1297" t="s">
        <v>511</v>
      </c>
      <c r="T394" s="1297"/>
      <c r="U394" s="1297"/>
      <c r="V394" t="s">
        <v>2070</v>
      </c>
      <c r="AG394" s="1369"/>
      <c r="AH394" s="1369"/>
      <c r="AI394" s="1369"/>
      <c r="AJ394" s="1369"/>
    </row>
    <row r="395" spans="4:36" ht="12.95" customHeight="1">
      <c r="D395" s="41" t="s">
        <v>2071</v>
      </c>
      <c r="S395" s="1297" t="s">
        <v>132</v>
      </c>
      <c r="T395" s="1297"/>
      <c r="U395" s="1297"/>
      <c r="V395" t="s">
        <v>2072</v>
      </c>
      <c r="AE395" s="1341"/>
      <c r="AF395" s="1341"/>
      <c r="AG395" s="1341"/>
      <c r="AH395" s="1341"/>
      <c r="AI395" s="1341"/>
      <c r="AJ395" s="1341"/>
    </row>
    <row r="396" spans="4:36" ht="12.95" customHeight="1">
      <c r="D396" s="41" t="s">
        <v>2073</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5" customHeight="1">
      <c r="D397" s="41" t="s">
        <v>2074</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5" customHeight="1">
      <c r="D398" s="41" t="s">
        <v>2075</v>
      </c>
      <c r="E398" s="831"/>
      <c r="F398" s="831"/>
      <c r="G398" s="831"/>
      <c r="H398" s="831"/>
      <c r="I398" s="831"/>
      <c r="J398" s="831"/>
      <c r="K398" s="831"/>
      <c r="L398" s="831"/>
      <c r="M398" s="831"/>
      <c r="N398" s="831"/>
      <c r="O398" s="831"/>
      <c r="P398" s="831"/>
      <c r="Q398" s="831"/>
      <c r="R398" s="831"/>
      <c r="S398" s="1384" t="s">
        <v>2076</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976" t="s">
        <v>2077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0"/>
      <c r="AH401" s="850"/>
      <c r="AI401" s="850"/>
      <c r="AJ401" s="850"/>
    </row>
    <row r="402" spans="1:36" ht="12.95" customHeight="1">
      <c r="A402" s="3" t="s">
        <v>130</v>
      </c>
      <c r="B402" s="3"/>
      <c r="C402" s="3" t="s">
        <v>942</v>
      </c>
    </row>
    <row r="403" spans="1:36" ht="12.95" customHeight="1">
      <c r="D403" s="3" t="s">
        <v>1811</v>
      </c>
      <c r="I403" s="1351" t="s">
        <v>2432</v>
      </c>
      <c r="J403" s="1351"/>
      <c r="K403" s="1351"/>
      <c r="L403" s="1351"/>
      <c r="M403" s="1351"/>
      <c r="N403" s="1351"/>
      <c r="O403" s="1351"/>
      <c r="P403" s="1351"/>
      <c r="Q403" s="1351"/>
      <c r="R403" s="1351"/>
      <c r="S403" s="1351"/>
      <c r="T403" s="1351"/>
      <c r="U403" s="1351"/>
      <c r="V403" s="1351"/>
      <c r="W403" s="1351"/>
      <c r="X403" s="1351"/>
      <c r="Y403" s="1351"/>
      <c r="Z403" s="1351"/>
      <c r="AA403" s="1351"/>
      <c r="AB403" s="1351"/>
      <c r="AC403" s="1351"/>
      <c r="AD403" s="1351"/>
    </row>
    <row r="404" spans="1:36" ht="12.95" customHeight="1">
      <c r="E404" t="s">
        <v>895</v>
      </c>
      <c r="R404" s="1232" t="s">
        <v>132</v>
      </c>
      <c r="S404" s="1232"/>
      <c r="T404" t="s">
        <v>306</v>
      </c>
      <c r="AD404" s="1285">
        <v>0</v>
      </c>
      <c r="AE404" s="1285"/>
    </row>
    <row r="405" spans="1:36" ht="12.95" customHeight="1">
      <c r="E405" t="s">
        <v>896</v>
      </c>
      <c r="R405" s="1232" t="s">
        <v>132</v>
      </c>
      <c r="S405" s="1232"/>
      <c r="T405" t="s">
        <v>306</v>
      </c>
      <c r="AD405" s="1285">
        <v>0</v>
      </c>
      <c r="AE405" s="1285"/>
    </row>
    <row r="406" spans="1:36" ht="12.95" customHeight="1">
      <c r="E406" t="s">
        <v>897</v>
      </c>
      <c r="S406" s="1232" t="s">
        <v>132</v>
      </c>
      <c r="T406" s="1232"/>
    </row>
    <row r="407" spans="1:36" ht="12.95" customHeight="1">
      <c r="E407" t="s">
        <v>298</v>
      </c>
      <c r="H407" s="1349" t="s">
        <v>592</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2.95"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2.95" customHeight="1"/>
    <row r="410" spans="1:36" ht="12.95" customHeight="1">
      <c r="A410" s="3" t="s">
        <v>131</v>
      </c>
      <c r="B410" s="3"/>
      <c r="C410" s="3"/>
      <c r="D410" s="3" t="s">
        <v>945</v>
      </c>
      <c r="AE410" s="5"/>
      <c r="AF410" s="3" t="s">
        <v>1265</v>
      </c>
    </row>
    <row r="411" spans="1:36" ht="12.95" customHeight="1">
      <c r="E411" s="1302"/>
      <c r="F411" s="1302"/>
      <c r="G411" s="1302"/>
      <c r="H411" s="18" t="s">
        <v>946</v>
      </c>
      <c r="I411" s="1302">
        <v>72857</v>
      </c>
      <c r="J411" s="1302"/>
      <c r="K411" s="1302"/>
      <c r="L411" t="s">
        <v>947</v>
      </c>
      <c r="N411" s="34" t="s">
        <v>891</v>
      </c>
      <c r="P411" s="1353">
        <v>1.672566</v>
      </c>
      <c r="Q411" s="1353"/>
      <c r="R411" s="1353"/>
      <c r="S411" t="s">
        <v>948</v>
      </c>
      <c r="W411" s="1354">
        <f>IF(E411&gt;0,(E411*I411),(P411*43560))</f>
        <v>72856.974960000007</v>
      </c>
      <c r="X411" s="1354"/>
      <c r="Y411" s="1354"/>
      <c r="Z411" t="s">
        <v>949</v>
      </c>
      <c r="AF411" s="1303">
        <f>IF(P411&gt;0,(AG430/P411),(AG430/(W411/43560)))</f>
        <v>43.645512344505391</v>
      </c>
      <c r="AG411" s="1303"/>
      <c r="AH411" s="1303"/>
    </row>
    <row r="412" spans="1:36" ht="12.95" customHeight="1">
      <c r="E412" t="s">
        <v>215</v>
      </c>
    </row>
    <row r="413" spans="1:36" ht="12.95"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5" customHeight="1">
      <c r="E414" s="270" t="s">
        <v>2078</v>
      </c>
      <c r="F414" s="29"/>
      <c r="G414" s="29"/>
      <c r="H414" s="29"/>
      <c r="I414" s="1362">
        <f>P411</f>
        <v>1.672566</v>
      </c>
      <c r="J414" s="1362"/>
      <c r="K414" s="1362"/>
      <c r="L414" s="29"/>
      <c r="M414" s="270"/>
      <c r="N414" s="29"/>
      <c r="O414" s="29"/>
      <c r="P414" s="1301">
        <f>(CQ615+CS620+CQ634)/I414</f>
        <v>77.724884997064393</v>
      </c>
      <c r="Q414" s="1301"/>
      <c r="R414" s="1301"/>
      <c r="S414" s="270" t="s">
        <v>2079</v>
      </c>
      <c r="T414" s="29"/>
      <c r="U414" s="29"/>
      <c r="V414" s="29"/>
      <c r="W414" s="29"/>
      <c r="X414" s="29"/>
      <c r="Y414" s="897"/>
      <c r="Z414" s="897"/>
      <c r="AA414" s="897"/>
      <c r="AB414" s="897"/>
      <c r="AC414" s="897"/>
      <c r="AD414" s="897"/>
      <c r="AE414" s="897"/>
      <c r="AF414" s="897"/>
      <c r="AG414" s="897"/>
      <c r="AH414" s="897"/>
      <c r="AI414" s="897"/>
      <c r="AJ414" s="897"/>
    </row>
    <row r="415" spans="1:36" ht="12.95" customHeight="1"/>
    <row r="416" spans="1:36" ht="12.95" customHeight="1">
      <c r="A416" s="3" t="s">
        <v>133</v>
      </c>
      <c r="B416" s="3"/>
      <c r="C416" s="3"/>
      <c r="D416" s="3" t="s">
        <v>951</v>
      </c>
    </row>
    <row r="417" spans="1:36" ht="12.95" customHeight="1">
      <c r="E417" t="s">
        <v>480</v>
      </c>
      <c r="P417" s="1232">
        <v>12</v>
      </c>
      <c r="Q417" s="1232"/>
      <c r="S417" t="s">
        <v>144</v>
      </c>
      <c r="AE417" s="1232">
        <v>12</v>
      </c>
      <c r="AF417" s="1232"/>
    </row>
    <row r="418" spans="1:36" ht="12.95" customHeight="1">
      <c r="E418" t="s">
        <v>145</v>
      </c>
      <c r="P418" s="1232">
        <v>1</v>
      </c>
      <c r="Q418" s="1232"/>
      <c r="S418" t="s">
        <v>761</v>
      </c>
      <c r="AE418" s="1232" t="s">
        <v>132</v>
      </c>
      <c r="AF418" s="1232"/>
    </row>
    <row r="419" spans="1:36" ht="12.95" customHeight="1">
      <c r="F419" s="36" t="s">
        <v>236</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898</v>
      </c>
      <c r="P422" s="1"/>
      <c r="Q422" s="1232" t="s">
        <v>511</v>
      </c>
      <c r="R422" s="1232"/>
      <c r="AE422" s="1"/>
      <c r="AF422" s="1"/>
    </row>
    <row r="423" spans="1:36" ht="12.95" customHeight="1">
      <c r="F423" t="s">
        <v>899</v>
      </c>
      <c r="P423" s="1"/>
      <c r="Q423" s="1"/>
      <c r="AE423" s="1232" t="s">
        <v>116</v>
      </c>
      <c r="AF423" s="1352"/>
    </row>
    <row r="424" spans="1:36" ht="12.95" customHeight="1"/>
    <row r="425" spans="1:36" ht="12.95" customHeight="1">
      <c r="A425" s="3"/>
      <c r="B425" s="3"/>
      <c r="C425" s="3"/>
      <c r="E425" s="5" t="s">
        <v>85</v>
      </c>
      <c r="Z425" s="1232" t="s">
        <v>116</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511</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3"/>
      <c r="AG430" s="1343">
        <v>73</v>
      </c>
      <c r="AH430" s="1343"/>
      <c r="AI430" s="1343"/>
      <c r="AJ430" s="1343"/>
    </row>
    <row r="431" spans="1:36" ht="12.95" customHeight="1">
      <c r="D431" s="1190" t="s">
        <v>1431</v>
      </c>
      <c r="E431" s="1299"/>
      <c r="F431" s="1299"/>
      <c r="G431" s="1299"/>
      <c r="H431" s="1299"/>
      <c r="I431" s="1299"/>
      <c r="J431" s="1299"/>
      <c r="K431" s="1299"/>
      <c r="L431" s="1299"/>
      <c r="M431" s="1299"/>
      <c r="N431" s="1299"/>
      <c r="O431" s="1299"/>
      <c r="P431" s="1299"/>
      <c r="Q431" s="1299"/>
      <c r="R431" s="1299"/>
      <c r="S431" s="1299"/>
      <c r="T431" s="1299"/>
      <c r="U431" s="1299"/>
      <c r="V431" s="1299"/>
      <c r="W431" s="1299"/>
      <c r="X431" s="1299"/>
      <c r="Y431" s="1299"/>
      <c r="Z431" s="1299"/>
      <c r="AA431" s="1299"/>
      <c r="AB431" s="1299"/>
      <c r="AC431" s="1299"/>
      <c r="AD431" s="1299"/>
      <c r="AE431" s="1299"/>
      <c r="AF431" s="1300"/>
      <c r="AG431" s="1347">
        <v>0</v>
      </c>
      <c r="AH431" s="1348"/>
      <c r="AI431" s="1348"/>
      <c r="AJ431" s="1348"/>
    </row>
    <row r="432" spans="1:36" ht="12.95" customHeight="1">
      <c r="D432" s="1190" t="s">
        <v>1432</v>
      </c>
      <c r="E432" s="1299"/>
      <c r="F432" s="1299"/>
      <c r="G432" s="1299"/>
      <c r="H432" s="1299"/>
      <c r="I432" s="1299"/>
      <c r="J432" s="1299"/>
      <c r="K432" s="1299"/>
      <c r="L432" s="1299"/>
      <c r="M432" s="1299"/>
      <c r="N432" s="1299"/>
      <c r="O432" s="1299"/>
      <c r="P432" s="1299"/>
      <c r="Q432" s="1299"/>
      <c r="R432" s="1299"/>
      <c r="S432" s="1299"/>
      <c r="T432" s="1299"/>
      <c r="U432" s="1299"/>
      <c r="V432" s="1299"/>
      <c r="W432" s="1299"/>
      <c r="X432" s="1299"/>
      <c r="Y432" s="1299"/>
      <c r="Z432" s="1299"/>
      <c r="AA432" s="1299"/>
      <c r="AB432" s="1299"/>
      <c r="AC432" s="1299"/>
      <c r="AD432" s="1299"/>
      <c r="AE432" s="1299"/>
      <c r="AF432" s="1300"/>
      <c r="AG432" s="1343">
        <v>73</v>
      </c>
      <c r="AH432" s="1343"/>
      <c r="AI432" s="1343"/>
      <c r="AJ432" s="1343"/>
    </row>
    <row r="433" spans="4:36" ht="12.95" customHeight="1">
      <c r="D433" s="1190" t="s">
        <v>1428</v>
      </c>
      <c r="E433" s="1299"/>
      <c r="F433" s="1299"/>
      <c r="G433" s="1299"/>
      <c r="H433" s="1299"/>
      <c r="I433" s="1299"/>
      <c r="J433" s="1299"/>
      <c r="K433" s="1299"/>
      <c r="L433" s="1299"/>
      <c r="M433" s="1299"/>
      <c r="N433" s="1299"/>
      <c r="O433" s="1299"/>
      <c r="P433" s="1299"/>
      <c r="Q433" s="1299"/>
      <c r="R433" s="1299"/>
      <c r="S433" s="1299"/>
      <c r="T433" s="1299"/>
      <c r="U433" s="1299"/>
      <c r="V433" s="1299"/>
      <c r="W433" s="1299"/>
      <c r="X433" s="1299"/>
      <c r="Y433" s="1299"/>
      <c r="Z433" s="1299"/>
      <c r="AA433" s="1299"/>
      <c r="AB433" s="1299"/>
      <c r="AC433" s="1299"/>
      <c r="AD433" s="1299"/>
      <c r="AE433" s="1299"/>
      <c r="AF433" s="1300"/>
      <c r="AG433" s="1343">
        <v>73</v>
      </c>
      <c r="AH433" s="1343"/>
      <c r="AI433" s="1343"/>
      <c r="AJ433" s="1343"/>
    </row>
    <row r="434" spans="4:36" ht="12.95" customHeight="1">
      <c r="D434" s="1190" t="s">
        <v>1433</v>
      </c>
      <c r="E434" s="1299"/>
      <c r="F434" s="1299"/>
      <c r="G434" s="1299"/>
      <c r="H434" s="1299"/>
      <c r="I434" s="1299"/>
      <c r="J434" s="1299"/>
      <c r="K434" s="1299"/>
      <c r="L434" s="1299"/>
      <c r="M434" s="1299"/>
      <c r="N434" s="1299"/>
      <c r="O434" s="1299"/>
      <c r="P434" s="1299"/>
      <c r="Q434" s="1299"/>
      <c r="R434" s="1299"/>
      <c r="S434" s="1299"/>
      <c r="T434" s="1299"/>
      <c r="U434" s="1299"/>
      <c r="V434" s="1299"/>
      <c r="W434" s="1299"/>
      <c r="X434" s="1299"/>
      <c r="Y434" s="1299"/>
      <c r="Z434" s="1299"/>
      <c r="AA434" s="1299"/>
      <c r="AB434" s="1299"/>
      <c r="AC434" s="1299"/>
      <c r="AD434" s="1299"/>
      <c r="AE434" s="1299"/>
      <c r="AF434" s="1300"/>
      <c r="AG434" s="1334">
        <f>IF(ISERROR(AG433/AG432),"",AG433/AG432)</f>
        <v>1</v>
      </c>
      <c r="AH434" s="1334"/>
      <c r="AI434" s="1334"/>
      <c r="AJ434" s="1334"/>
    </row>
    <row r="435" spans="4:36" ht="12.95" customHeight="1">
      <c r="D435" s="1190" t="s">
        <v>1430</v>
      </c>
      <c r="E435" s="1299"/>
      <c r="F435" s="1299"/>
      <c r="G435" s="1299"/>
      <c r="H435" s="1299"/>
      <c r="I435" s="1299"/>
      <c r="J435" s="1299"/>
      <c r="K435" s="1299"/>
      <c r="L435" s="1299"/>
      <c r="M435" s="1299"/>
      <c r="N435" s="1299"/>
      <c r="O435" s="1299"/>
      <c r="P435" s="1299"/>
      <c r="Q435" s="1299"/>
      <c r="R435" s="1299"/>
      <c r="S435" s="1299"/>
      <c r="T435" s="1299"/>
      <c r="U435" s="1299"/>
      <c r="V435" s="1299"/>
      <c r="W435" s="1299"/>
      <c r="X435" s="1299"/>
      <c r="Y435" s="1299"/>
      <c r="Z435" s="1299"/>
      <c r="AA435" s="1299"/>
      <c r="AB435" s="1299"/>
      <c r="AC435" s="1299"/>
      <c r="AD435" s="1299"/>
      <c r="AE435" s="1299"/>
      <c r="AF435" s="1300"/>
      <c r="AG435" s="1283">
        <v>40000</v>
      </c>
      <c r="AH435" s="1283"/>
      <c r="AI435" s="1283"/>
      <c r="AJ435" s="1283"/>
    </row>
    <row r="436" spans="4:36" ht="12.95" customHeight="1">
      <c r="D436" s="1190" t="s">
        <v>1429</v>
      </c>
      <c r="E436" s="1299"/>
      <c r="F436" s="1299"/>
      <c r="G436" s="1299"/>
      <c r="H436" s="1299"/>
      <c r="I436" s="1299"/>
      <c r="J436" s="1299"/>
      <c r="K436" s="1299"/>
      <c r="L436" s="1299"/>
      <c r="M436" s="1299"/>
      <c r="N436" s="1299"/>
      <c r="O436" s="1299"/>
      <c r="P436" s="1299"/>
      <c r="Q436" s="1299"/>
      <c r="R436" s="1299"/>
      <c r="S436" s="1299"/>
      <c r="T436" s="1299"/>
      <c r="U436" s="1299"/>
      <c r="V436" s="1299"/>
      <c r="W436" s="1299"/>
      <c r="X436" s="1299"/>
      <c r="Y436" s="1299"/>
      <c r="Z436" s="1299"/>
      <c r="AA436" s="1299"/>
      <c r="AB436" s="1299"/>
      <c r="AC436" s="1299"/>
      <c r="AD436" s="1299"/>
      <c r="AE436" s="1299"/>
      <c r="AF436" s="1300"/>
      <c r="AG436" s="1283">
        <v>40000</v>
      </c>
      <c r="AH436" s="1283"/>
      <c r="AI436" s="1283"/>
      <c r="AJ436" s="1283"/>
    </row>
    <row r="437" spans="4:36" ht="12.95" customHeight="1">
      <c r="D437" s="1190" t="s">
        <v>1436</v>
      </c>
      <c r="E437" s="1299"/>
      <c r="F437" s="1299"/>
      <c r="G437" s="1299"/>
      <c r="H437" s="1299"/>
      <c r="I437" s="1299"/>
      <c r="J437" s="1299"/>
      <c r="K437" s="1299"/>
      <c r="L437" s="1299"/>
      <c r="M437" s="1299"/>
      <c r="N437" s="1299"/>
      <c r="O437" s="1299"/>
      <c r="P437" s="1299"/>
      <c r="Q437" s="1299"/>
      <c r="R437" s="1299"/>
      <c r="S437" s="1299"/>
      <c r="T437" s="1299"/>
      <c r="U437" s="1299"/>
      <c r="V437" s="1299"/>
      <c r="W437" s="1299"/>
      <c r="X437" s="1299"/>
      <c r="Y437" s="1299"/>
      <c r="Z437" s="1299"/>
      <c r="AA437" s="1299"/>
      <c r="AB437" s="1299"/>
      <c r="AC437" s="1299"/>
      <c r="AD437" s="1299"/>
      <c r="AE437" s="1299"/>
      <c r="AF437" s="1300"/>
      <c r="AG437" s="1334">
        <f>IF(ISERROR(AG436/AG435),"",AG436/AG435)</f>
        <v>1</v>
      </c>
      <c r="AH437" s="1334"/>
      <c r="AI437" s="1334"/>
      <c r="AJ437" s="1334"/>
    </row>
    <row r="438" spans="4:36" ht="12.95" customHeight="1">
      <c r="D438" s="1190" t="s">
        <v>1434</v>
      </c>
      <c r="E438" s="1299"/>
      <c r="F438" s="1299"/>
      <c r="G438" s="1299"/>
      <c r="H438" s="1299"/>
      <c r="I438" s="1299"/>
      <c r="J438" s="1299"/>
      <c r="K438" s="1299"/>
      <c r="L438" s="1299"/>
      <c r="M438" s="1299"/>
      <c r="N438" s="1299"/>
      <c r="O438" s="1299"/>
      <c r="P438" s="1299"/>
      <c r="Q438" s="1299"/>
      <c r="R438" s="1299"/>
      <c r="S438" s="1299"/>
      <c r="T438" s="1299"/>
      <c r="U438" s="1299"/>
      <c r="V438" s="1299"/>
      <c r="W438" s="1299"/>
      <c r="X438" s="1299"/>
      <c r="Y438" s="1299"/>
      <c r="Z438" s="1299"/>
      <c r="AA438" s="1299"/>
      <c r="AB438" s="1299"/>
      <c r="AC438" s="1299"/>
      <c r="AD438" s="1299"/>
      <c r="AE438" s="1299"/>
      <c r="AF438" s="1300"/>
      <c r="AG438" s="1334">
        <f>MIN(IF(AG434&gt;AG437,AG437,AG434),1)</f>
        <v>1</v>
      </c>
      <c r="AH438" s="1334"/>
      <c r="AI438" s="1334"/>
      <c r="AJ438" s="1334"/>
    </row>
    <row r="439" spans="4:36" ht="12.95" customHeight="1">
      <c r="D439" s="1298" t="s">
        <v>2235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3"/>
      <c r="AG439" s="1283">
        <v>1500</v>
      </c>
      <c r="AH439" s="1283"/>
      <c r="AI439" s="1283"/>
      <c r="AJ439" s="1283"/>
    </row>
    <row r="440" spans="4:36" ht="12.95" customHeight="1">
      <c r="D440" s="1190" t="s">
        <v>222</v>
      </c>
      <c r="E440" s="1299"/>
      <c r="F440" s="1299"/>
      <c r="G440" s="1299"/>
      <c r="H440" s="1299"/>
      <c r="I440" s="1299"/>
      <c r="J440" s="1299"/>
      <c r="K440" s="1299"/>
      <c r="L440" s="1299"/>
      <c r="M440" s="1299"/>
      <c r="N440" s="1299"/>
      <c r="O440" s="1299"/>
      <c r="P440" s="1299"/>
      <c r="Q440" s="1299"/>
      <c r="R440" s="1299"/>
      <c r="S440" s="1299"/>
      <c r="T440" s="1299"/>
      <c r="U440" s="1299"/>
      <c r="V440" s="1299"/>
      <c r="W440" s="1299"/>
      <c r="X440" s="1299"/>
      <c r="Y440" s="1299"/>
      <c r="Z440" s="1299"/>
      <c r="AA440" s="1299"/>
      <c r="AB440" s="1299"/>
      <c r="AC440" s="1299"/>
      <c r="AD440" s="1299"/>
      <c r="AE440" s="1299"/>
      <c r="AF440" s="1300"/>
      <c r="AG440" s="1283">
        <v>0</v>
      </c>
      <c r="AH440" s="1283"/>
      <c r="AI440" s="1283"/>
      <c r="AJ440" s="1283"/>
    </row>
    <row r="441" spans="4:36" ht="12.95" customHeight="1">
      <c r="D441" s="1298" t="s">
        <v>1812</v>
      </c>
      <c r="E441" s="1299"/>
      <c r="F441" s="1299"/>
      <c r="G441" s="1299"/>
      <c r="H441" s="1299"/>
      <c r="I441" s="1299"/>
      <c r="J441" s="1299"/>
      <c r="K441" s="1299"/>
      <c r="L441" s="1299"/>
      <c r="M441" s="1299"/>
      <c r="N441" s="1299"/>
      <c r="O441" s="1299"/>
      <c r="P441" s="1299"/>
      <c r="Q441" s="1299"/>
      <c r="R441" s="1299"/>
      <c r="S441" s="1299"/>
      <c r="T441" s="1299"/>
      <c r="U441" s="1299"/>
      <c r="V441" s="1299"/>
      <c r="W441" s="1299"/>
      <c r="X441" s="1299"/>
      <c r="Y441" s="1299"/>
      <c r="Z441" s="1299"/>
      <c r="AA441" s="1299"/>
      <c r="AB441" s="1299"/>
      <c r="AC441" s="1299"/>
      <c r="AD441" s="1299"/>
      <c r="AE441" s="1299"/>
      <c r="AF441" s="1300"/>
      <c r="AG441" s="1283">
        <v>800</v>
      </c>
      <c r="AH441" s="1283"/>
      <c r="AI441" s="1283"/>
      <c r="AJ441" s="1283"/>
    </row>
    <row r="442" spans="4:36" ht="12.95" customHeight="1">
      <c r="D442" s="1190" t="s">
        <v>1435</v>
      </c>
      <c r="E442" s="1299"/>
      <c r="F442" s="1299"/>
      <c r="G442" s="1299"/>
      <c r="H442" s="1299"/>
      <c r="I442" s="1299"/>
      <c r="J442" s="1299"/>
      <c r="K442" s="1299"/>
      <c r="L442" s="1299"/>
      <c r="M442" s="1299"/>
      <c r="N442" s="1299"/>
      <c r="O442" s="1299"/>
      <c r="P442" s="1299"/>
      <c r="Q442" s="1299"/>
      <c r="R442" s="1299"/>
      <c r="S442" s="1299"/>
      <c r="T442" s="1299"/>
      <c r="U442" s="1299"/>
      <c r="V442" s="1299"/>
      <c r="W442" s="1299"/>
      <c r="X442" s="1299"/>
      <c r="Y442" s="1299"/>
      <c r="Z442" s="1299"/>
      <c r="AA442" s="1299"/>
      <c r="AB442" s="1299"/>
      <c r="AC442" s="1299"/>
      <c r="AD442" s="1299"/>
      <c r="AE442" s="1299"/>
      <c r="AF442" s="1300"/>
      <c r="AG442" s="1283">
        <v>0</v>
      </c>
      <c r="AH442" s="1283"/>
      <c r="AI442" s="1283"/>
      <c r="AJ442" s="1283"/>
    </row>
    <row r="443" spans="4:36" ht="12.95" customHeight="1">
      <c r="D443" s="1190" t="s">
        <v>1437</v>
      </c>
      <c r="E443" s="1299"/>
      <c r="F443" s="1299"/>
      <c r="G443" s="1299"/>
      <c r="H443" s="1299"/>
      <c r="I443" s="1299"/>
      <c r="J443" s="1299"/>
      <c r="K443" s="1299"/>
      <c r="L443" s="1299"/>
      <c r="M443" s="1299"/>
      <c r="N443" s="1299"/>
      <c r="O443" s="1299"/>
      <c r="P443" s="1299"/>
      <c r="Q443" s="1299"/>
      <c r="R443" s="1299"/>
      <c r="S443" s="1299"/>
      <c r="T443" s="1299"/>
      <c r="U443" s="1299"/>
      <c r="V443" s="1299"/>
      <c r="W443" s="1299"/>
      <c r="X443" s="1299"/>
      <c r="Y443" s="1299"/>
      <c r="Z443" s="1299"/>
      <c r="AA443" s="1299"/>
      <c r="AB443" s="1299"/>
      <c r="AC443" s="1299"/>
      <c r="AD443" s="1299"/>
      <c r="AE443" s="1299"/>
      <c r="AF443" s="1300"/>
      <c r="AG443" s="1359">
        <f>AG435+AG439+AG441+AG442</f>
        <v>42300</v>
      </c>
      <c r="AH443" s="1359"/>
      <c r="AI443" s="1359"/>
      <c r="AJ443" s="1359"/>
    </row>
    <row r="444" spans="4:36" ht="12.95" customHeight="1">
      <c r="D444" s="1365" t="s">
        <v>1813</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5"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2">
        <f>'Sources and Uses Budget'!B104/Application!AG430</f>
        <v>612845.75342465751</v>
      </c>
      <c r="AD447" s="1332"/>
      <c r="AE447" s="1332"/>
      <c r="AF447" s="1332"/>
      <c r="AG447" s="1391"/>
      <c r="AH447" s="1391"/>
      <c r="AI447" s="1391"/>
      <c r="AJ447" s="1391"/>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2">
        <f>'Sources and Uses Budget'!C104/Application!AG430</f>
        <v>612845.75342465751</v>
      </c>
      <c r="AD448" s="1332"/>
      <c r="AE448" s="1332"/>
      <c r="AF448" s="1332"/>
      <c r="AG448" s="1391"/>
      <c r="AH448" s="1391"/>
      <c r="AI448" s="1391"/>
      <c r="AJ448" s="1391"/>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2">
        <f>('Sources and Uses Budget'!S106+'Sources and Uses Budget'!T106)/Application!AG430</f>
        <v>560251.12328767125</v>
      </c>
      <c r="AD449" s="1332"/>
      <c r="AE449" s="1332"/>
      <c r="AF449" s="133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2"/>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3" t="s">
        <v>2208</v>
      </c>
      <c r="E458" s="1324"/>
      <c r="F458" s="1324"/>
      <c r="G458" s="1324"/>
      <c r="H458" s="1324"/>
      <c r="I458" s="1324"/>
      <c r="J458" s="1324"/>
      <c r="K458" s="1324"/>
      <c r="L458" s="1324"/>
      <c r="M458" s="1324"/>
      <c r="N458" s="1324"/>
      <c r="O458" s="1324"/>
      <c r="P458" s="1324"/>
      <c r="Q458" s="1324"/>
      <c r="R458" s="1324"/>
      <c r="S458" s="1324"/>
      <c r="T458" s="1324"/>
      <c r="U458" s="1324"/>
      <c r="V458" s="1325"/>
      <c r="W458" s="1293" t="s">
        <v>132</v>
      </c>
      <c r="X458" s="1294"/>
      <c r="Y458" s="1295"/>
      <c r="Z458" s="311"/>
      <c r="AA458" s="311"/>
      <c r="AB458" s="311"/>
      <c r="AC458" s="311"/>
      <c r="AD458" s="311"/>
      <c r="AE458" s="311"/>
      <c r="AF458" s="311"/>
      <c r="AG458" s="311"/>
      <c r="AH458" s="311"/>
      <c r="AI458" s="311"/>
      <c r="AJ458" s="41"/>
      <c r="AK458" s="41"/>
      <c r="AL458" s="41"/>
    </row>
    <row r="459" spans="1:38" ht="12.95" customHeight="1">
      <c r="A459" s="41"/>
      <c r="B459" s="41"/>
      <c r="C459" s="41"/>
      <c r="D459" s="1323" t="s">
        <v>227</v>
      </c>
      <c r="E459" s="1324"/>
      <c r="F459" s="1324"/>
      <c r="G459" s="1324"/>
      <c r="H459" s="1324"/>
      <c r="I459" s="1324"/>
      <c r="J459" s="1324"/>
      <c r="K459" s="1324"/>
      <c r="L459" s="1324"/>
      <c r="M459" s="1324"/>
      <c r="N459" s="1324"/>
      <c r="O459" s="1324"/>
      <c r="P459" s="1324"/>
      <c r="Q459" s="1324"/>
      <c r="R459" s="1324"/>
      <c r="S459" s="1324"/>
      <c r="T459" s="1324"/>
      <c r="U459" s="1324"/>
      <c r="V459" s="1325"/>
      <c r="W459" s="1293" t="s">
        <v>132</v>
      </c>
      <c r="X459" s="1294"/>
      <c r="Y459" s="1295"/>
      <c r="Z459" s="311"/>
      <c r="AA459" s="311"/>
      <c r="AB459" s="311"/>
      <c r="AC459" s="311"/>
      <c r="AD459" s="311"/>
      <c r="AE459" s="311"/>
      <c r="AF459" s="311"/>
      <c r="AG459" s="311"/>
      <c r="AH459" s="311"/>
      <c r="AI459" s="311"/>
      <c r="AJ459" s="41"/>
      <c r="AK459" s="41"/>
      <c r="AL459" s="41"/>
    </row>
    <row r="460" spans="1:38" ht="12.95" customHeight="1">
      <c r="A460" s="41"/>
      <c r="B460" s="41"/>
      <c r="C460" s="41"/>
      <c r="D460" s="1323" t="s">
        <v>228</v>
      </c>
      <c r="E460" s="1324"/>
      <c r="F460" s="1324"/>
      <c r="G460" s="1324"/>
      <c r="H460" s="1324"/>
      <c r="I460" s="1324"/>
      <c r="J460" s="1324"/>
      <c r="K460" s="1324"/>
      <c r="L460" s="1324"/>
      <c r="M460" s="1324"/>
      <c r="N460" s="1324"/>
      <c r="O460" s="1324"/>
      <c r="P460" s="1324"/>
      <c r="Q460" s="1324"/>
      <c r="R460" s="1324"/>
      <c r="S460" s="1324"/>
      <c r="T460" s="1324"/>
      <c r="U460" s="1324"/>
      <c r="V460" s="1325"/>
      <c r="W460" s="1293" t="s">
        <v>132</v>
      </c>
      <c r="X460" s="1294"/>
      <c r="Y460" s="1295"/>
      <c r="Z460" s="311"/>
      <c r="AA460" s="311"/>
      <c r="AB460" s="311"/>
      <c r="AC460" s="311"/>
      <c r="AD460" s="311"/>
      <c r="AE460" s="311"/>
      <c r="AF460" s="311"/>
      <c r="AG460" s="311"/>
      <c r="AH460" s="311"/>
      <c r="AI460" s="311"/>
      <c r="AJ460" s="41"/>
      <c r="AK460" s="41"/>
      <c r="AL460" s="41"/>
    </row>
    <row r="461" spans="1:38" ht="12.95" customHeight="1">
      <c r="A461" s="41"/>
      <c r="B461" s="41"/>
      <c r="C461" s="41"/>
      <c r="D461" s="1323" t="s">
        <v>231</v>
      </c>
      <c r="E461" s="1324"/>
      <c r="F461" s="1324"/>
      <c r="G461" s="1324"/>
      <c r="H461" s="1324"/>
      <c r="I461" s="1324"/>
      <c r="J461" s="1324"/>
      <c r="K461" s="1324"/>
      <c r="L461" s="1324"/>
      <c r="M461" s="1324"/>
      <c r="N461" s="1324"/>
      <c r="O461" s="1324"/>
      <c r="P461" s="1324"/>
      <c r="Q461" s="1324"/>
      <c r="R461" s="1324"/>
      <c r="S461" s="1324"/>
      <c r="T461" s="1324"/>
      <c r="U461" s="1324"/>
      <c r="V461" s="1325"/>
      <c r="W461" s="1293" t="s">
        <v>132</v>
      </c>
      <c r="X461" s="1294"/>
      <c r="Y461" s="1295"/>
      <c r="Z461" s="311"/>
      <c r="AA461" s="311"/>
      <c r="AB461" s="311"/>
      <c r="AC461" s="311"/>
      <c r="AD461" s="311"/>
      <c r="AE461" s="311"/>
      <c r="AF461" s="311"/>
      <c r="AG461" s="311"/>
      <c r="AH461" s="311"/>
      <c r="AI461" s="311"/>
      <c r="AJ461" s="41"/>
      <c r="AK461" s="41"/>
      <c r="AL461" s="41"/>
    </row>
    <row r="462" spans="1:38" ht="12.95" customHeight="1">
      <c r="A462" s="41"/>
      <c r="B462" s="41"/>
      <c r="C462" s="41"/>
      <c r="D462" s="1344" t="s">
        <v>1155</v>
      </c>
      <c r="E462" s="1324"/>
      <c r="F462" s="1324"/>
      <c r="G462" s="1324"/>
      <c r="H462" s="1324"/>
      <c r="I462" s="1324"/>
      <c r="J462" s="1324"/>
      <c r="K462" s="1324"/>
      <c r="L462" s="1324"/>
      <c r="M462" s="1324"/>
      <c r="N462" s="1324"/>
      <c r="O462" s="1324"/>
      <c r="P462" s="1324"/>
      <c r="Q462" s="1324"/>
      <c r="R462" s="1324"/>
      <c r="S462" s="1324"/>
      <c r="T462" s="1324"/>
      <c r="U462" s="1324"/>
      <c r="V462" s="1325"/>
      <c r="W462" s="1293" t="s">
        <v>132</v>
      </c>
      <c r="X462" s="1294"/>
      <c r="Y462" s="1295"/>
      <c r="Z462" s="311"/>
      <c r="AA462" s="311"/>
      <c r="AB462" s="311"/>
      <c r="AC462" s="311"/>
      <c r="AD462" s="311"/>
      <c r="AE462" s="311"/>
      <c r="AF462" s="311"/>
      <c r="AG462" s="311"/>
      <c r="AH462" s="311"/>
      <c r="AI462" s="311"/>
      <c r="AJ462" s="41"/>
      <c r="AK462" s="41"/>
      <c r="AL462" s="41"/>
    </row>
    <row r="463" spans="1:38" ht="12.95" customHeight="1">
      <c r="A463" s="41"/>
      <c r="B463" s="41"/>
      <c r="C463" s="41"/>
      <c r="D463" s="1323" t="s">
        <v>235</v>
      </c>
      <c r="E463" s="1324"/>
      <c r="F463" s="1324"/>
      <c r="G463" s="1324"/>
      <c r="H463" s="1324"/>
      <c r="I463" s="1324"/>
      <c r="J463" s="1324"/>
      <c r="K463" s="1324"/>
      <c r="L463" s="1324"/>
      <c r="M463" s="1324"/>
      <c r="N463" s="1324"/>
      <c r="O463" s="1324"/>
      <c r="P463" s="1324"/>
      <c r="Q463" s="1324"/>
      <c r="R463" s="1324"/>
      <c r="S463" s="1324"/>
      <c r="T463" s="1324"/>
      <c r="U463" s="1324"/>
      <c r="V463" s="1325"/>
      <c r="W463" s="1293" t="s">
        <v>132</v>
      </c>
      <c r="X463" s="1294"/>
      <c r="Y463" s="1295"/>
      <c r="Z463" s="311"/>
      <c r="AA463" s="311"/>
      <c r="AB463" s="311"/>
      <c r="AC463" s="311"/>
      <c r="AD463" s="311"/>
      <c r="AE463" s="311"/>
      <c r="AF463" s="311"/>
      <c r="AG463" s="311"/>
      <c r="AH463" s="311"/>
      <c r="AI463" s="311"/>
      <c r="AJ463" s="41"/>
      <c r="AK463" s="41"/>
      <c r="AL463" s="41"/>
    </row>
    <row r="464" spans="1:38" ht="12.95" customHeight="1">
      <c r="A464" s="570"/>
      <c r="B464" s="570"/>
      <c r="C464" s="570"/>
      <c r="D464" s="1344" t="s">
        <v>1360</v>
      </c>
      <c r="E464" s="1345"/>
      <c r="F464" s="1345"/>
      <c r="G464" s="1345"/>
      <c r="H464" s="1345"/>
      <c r="I464" s="1345"/>
      <c r="J464" s="1345"/>
      <c r="K464" s="1345"/>
      <c r="L464" s="1345"/>
      <c r="M464" s="1345"/>
      <c r="N464" s="1345"/>
      <c r="O464" s="1345"/>
      <c r="P464" s="1345"/>
      <c r="Q464" s="1345"/>
      <c r="R464" s="1345"/>
      <c r="S464" s="1345"/>
      <c r="T464" s="1345"/>
      <c r="U464" s="1345"/>
      <c r="V464" s="1346"/>
      <c r="W464" s="1393" t="s">
        <v>132</v>
      </c>
      <c r="X464" s="1394"/>
      <c r="Y464" s="1395"/>
      <c r="Z464" s="571"/>
      <c r="AA464" s="571"/>
      <c r="AB464" s="571"/>
      <c r="AC464" s="571"/>
      <c r="AD464" s="572"/>
      <c r="AE464" s="572"/>
      <c r="AF464" s="572"/>
      <c r="AG464" s="572"/>
      <c r="AH464" s="572"/>
      <c r="AI464" s="572"/>
      <c r="AJ464" s="366"/>
    </row>
    <row r="465" spans="1:97" ht="12.95" customHeight="1">
      <c r="A465" s="41"/>
      <c r="B465" s="41"/>
      <c r="C465" s="41"/>
      <c r="D465" s="419" t="s">
        <v>298</v>
      </c>
      <c r="E465" s="420"/>
      <c r="F465" s="421"/>
      <c r="G465" s="1326"/>
      <c r="H465" s="1327"/>
      <c r="I465" s="1327"/>
      <c r="J465" s="1327"/>
      <c r="K465" s="1327"/>
      <c r="L465" s="1327"/>
      <c r="M465" s="1327"/>
      <c r="N465" s="1327"/>
      <c r="O465" s="1327"/>
      <c r="P465" s="1327"/>
      <c r="Q465" s="1327"/>
      <c r="R465" s="1327"/>
      <c r="S465" s="1327"/>
      <c r="T465" s="1327"/>
      <c r="U465" s="1327"/>
      <c r="V465" s="1328"/>
      <c r="W465" s="1293" t="s">
        <v>132</v>
      </c>
      <c r="X465" s="1294"/>
      <c r="Y465" s="1295"/>
      <c r="Z465" s="311"/>
      <c r="AA465" s="311"/>
      <c r="AB465" s="311"/>
      <c r="AC465" s="311"/>
      <c r="AD465" s="311"/>
      <c r="AE465" s="311"/>
      <c r="AF465" s="311"/>
      <c r="AG465" s="311"/>
      <c r="AH465" s="311"/>
      <c r="AI465" s="311"/>
      <c r="AJ465" s="41"/>
      <c r="AK465" s="41"/>
      <c r="AL465" s="41"/>
      <c r="AM465" s="570"/>
      <c r="AN465" s="570"/>
      <c r="AO465" s="570"/>
      <c r="AP465" s="570"/>
      <c r="AQ465" s="570"/>
      <c r="AR465" s="570"/>
      <c r="AS465" s="570"/>
      <c r="AT465" s="570"/>
      <c r="AU465" s="570"/>
      <c r="AV465" s="570"/>
      <c r="AW465" s="570"/>
      <c r="AX465" s="570"/>
      <c r="AY465" s="570"/>
      <c r="AZ465" s="570"/>
      <c r="BA465" s="570"/>
      <c r="BB465" s="570"/>
      <c r="BC465" s="570"/>
      <c r="BD465" s="570"/>
      <c r="BE465" s="570"/>
      <c r="BF465" s="570"/>
      <c r="BG465" s="570"/>
      <c r="BH465" s="570"/>
      <c r="BI465" s="570"/>
      <c r="BJ465" s="570"/>
      <c r="BK465" s="570"/>
      <c r="BL465" s="570"/>
      <c r="BM465" s="570"/>
      <c r="BN465" s="570"/>
      <c r="BO465" s="570"/>
      <c r="BP465" s="570"/>
      <c r="BQ465" s="570"/>
      <c r="BR465" s="570"/>
      <c r="BS465" s="570"/>
      <c r="BT465" s="570"/>
      <c r="BU465" s="570"/>
      <c r="BV465" s="570"/>
      <c r="BW465" s="570"/>
      <c r="BX465" s="570"/>
      <c r="BY465" s="570"/>
      <c r="BZ465" s="570"/>
      <c r="CA465" s="570"/>
      <c r="CB465" s="570"/>
      <c r="CC465" s="570"/>
      <c r="CD465" s="570"/>
      <c r="CE465" s="570"/>
      <c r="CF465" s="570"/>
      <c r="CG465" s="570"/>
      <c r="CH465" s="570"/>
      <c r="CI465" s="570"/>
      <c r="CJ465" s="570"/>
      <c r="CK465" s="570"/>
      <c r="CL465" s="570"/>
      <c r="CM465" s="570"/>
      <c r="CN465" s="570"/>
      <c r="CO465" s="570"/>
      <c r="CP465" s="570"/>
      <c r="CQ465" s="570"/>
      <c r="CR465" s="570"/>
      <c r="CS465" s="570"/>
    </row>
    <row r="466" spans="1:97" ht="12.95" customHeight="1">
      <c r="A466" s="41"/>
      <c r="B466" s="41"/>
      <c r="C466" s="41"/>
      <c r="D466" s="442" t="s">
        <v>1361</v>
      </c>
      <c r="E466" s="422"/>
      <c r="F466" s="422"/>
      <c r="G466" s="314"/>
      <c r="H466" s="314"/>
      <c r="I466" s="314"/>
      <c r="J466" s="314"/>
      <c r="K466" s="314"/>
      <c r="L466" s="314"/>
      <c r="M466" s="314"/>
      <c r="N466" s="314"/>
      <c r="O466" s="314"/>
      <c r="P466" s="314"/>
      <c r="Q466" s="314"/>
      <c r="R466" s="314"/>
      <c r="S466" s="314"/>
      <c r="T466" s="314"/>
      <c r="U466" s="314"/>
      <c r="V466" s="314"/>
      <c r="W466" s="415"/>
      <c r="X466" s="415"/>
      <c r="Y466" s="416"/>
      <c r="Z466" s="311"/>
      <c r="AA466" s="311"/>
      <c r="AB466" s="311"/>
      <c r="AC466" s="311"/>
      <c r="AD466" s="311"/>
      <c r="AE466" s="311"/>
      <c r="AF466" s="311"/>
      <c r="AG466" s="311"/>
      <c r="AH466" s="311"/>
      <c r="AI466" s="311"/>
      <c r="AJ466" s="41"/>
      <c r="AK466" s="41"/>
      <c r="AL466" s="41"/>
    </row>
    <row r="467" spans="1:97" ht="12.95" customHeight="1">
      <c r="A467" s="41"/>
      <c r="B467" s="41"/>
      <c r="C467" s="41"/>
      <c r="D467" s="423"/>
      <c r="E467" s="424"/>
      <c r="F467" s="424"/>
      <c r="G467" s="424"/>
      <c r="H467" s="424"/>
      <c r="I467" s="424"/>
      <c r="J467" s="424"/>
      <c r="K467" s="424"/>
      <c r="L467" s="424"/>
      <c r="M467" s="424"/>
      <c r="N467" s="424"/>
      <c r="O467" s="424"/>
      <c r="P467" s="424"/>
      <c r="Q467" s="424"/>
      <c r="R467" s="424"/>
      <c r="S467" s="424"/>
      <c r="T467" s="424"/>
      <c r="U467" s="424"/>
      <c r="V467" s="424"/>
      <c r="W467" s="425"/>
      <c r="X467" s="425"/>
      <c r="Y467" s="426"/>
      <c r="Z467" s="311"/>
      <c r="AA467" s="311"/>
      <c r="AB467" s="311"/>
      <c r="AC467" s="311"/>
      <c r="AD467" s="311"/>
      <c r="AE467" s="311"/>
      <c r="AF467" s="311"/>
      <c r="AG467" s="311"/>
      <c r="AH467" s="311"/>
      <c r="AI467" s="311"/>
      <c r="AJ467" s="41"/>
      <c r="AK467" s="41"/>
      <c r="AL467" s="41"/>
    </row>
    <row r="468" spans="1:97" ht="12.95" customHeight="1">
      <c r="A468" s="41"/>
      <c r="B468" s="41"/>
      <c r="C468" s="41"/>
      <c r="D468" s="423"/>
      <c r="E468" s="424"/>
      <c r="F468" s="424"/>
      <c r="G468" s="424"/>
      <c r="H468" s="424"/>
      <c r="I468" s="424"/>
      <c r="J468" s="424"/>
      <c r="K468" s="424"/>
      <c r="L468" s="424"/>
      <c r="M468" s="424"/>
      <c r="N468" s="424"/>
      <c r="O468" s="424"/>
      <c r="P468" s="424"/>
      <c r="Q468" s="424"/>
      <c r="R468" s="424"/>
      <c r="S468" s="424"/>
      <c r="T468" s="424"/>
      <c r="U468" s="424"/>
      <c r="V468" s="424"/>
      <c r="W468" s="425"/>
      <c r="X468" s="425"/>
      <c r="Y468" s="42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3" t="s">
        <v>229</v>
      </c>
      <c r="E469" s="1364"/>
      <c r="F469" s="1364"/>
      <c r="G469" s="1364"/>
      <c r="H469" s="1364"/>
      <c r="I469" s="1364"/>
      <c r="J469" s="1364"/>
      <c r="K469" s="1364"/>
      <c r="L469" s="1364"/>
      <c r="M469" s="1364"/>
      <c r="N469" s="1364"/>
      <c r="O469" s="1364"/>
      <c r="P469" s="1364"/>
      <c r="Q469" s="1364"/>
      <c r="R469" s="1364"/>
      <c r="S469" s="1364"/>
      <c r="T469" s="1364"/>
      <c r="U469" s="1364"/>
      <c r="V469" s="1364"/>
      <c r="W469" s="1319"/>
      <c r="X469" s="1319"/>
      <c r="Y469" s="132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3" t="s">
        <v>2236</v>
      </c>
      <c r="E470" s="1324"/>
      <c r="F470" s="1324"/>
      <c r="G470" s="1324"/>
      <c r="H470" s="1324"/>
      <c r="I470" s="1324"/>
      <c r="J470" s="1324"/>
      <c r="K470" s="1324"/>
      <c r="L470" s="1324"/>
      <c r="M470" s="1324"/>
      <c r="N470" s="1324"/>
      <c r="O470" s="1324"/>
      <c r="P470" s="1324"/>
      <c r="Q470" s="1324"/>
      <c r="R470" s="1324"/>
      <c r="S470" s="1324"/>
      <c r="T470" s="1324"/>
      <c r="U470" s="1324"/>
      <c r="V470" s="1325"/>
      <c r="W470" s="1293" t="s">
        <v>132</v>
      </c>
      <c r="X470" s="1294"/>
      <c r="Y470" s="12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2" t="s">
        <v>1072</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29" t="s">
        <v>253</v>
      </c>
      <c r="R478" s="1330"/>
      <c r="S478" s="1330"/>
      <c r="T478" s="1330"/>
      <c r="U478" s="1330"/>
      <c r="V478" s="1330"/>
      <c r="W478" s="1330"/>
      <c r="X478" s="1330"/>
      <c r="Y478" s="1330"/>
      <c r="Z478" s="1330"/>
      <c r="AA478" s="1330"/>
      <c r="AB478" s="1330"/>
      <c r="AC478" s="1330"/>
      <c r="AD478" s="1330"/>
      <c r="AE478" s="1330"/>
      <c r="AF478" s="1330"/>
      <c r="AG478" s="1330"/>
      <c r="AH478" s="1330"/>
      <c r="AI478" s="1330"/>
      <c r="AJ478" s="1330"/>
      <c r="AK478" s="133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7" t="s">
        <v>2468</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1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7" t="s">
        <v>2468</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1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7">
        <v>0</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1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5" t="s">
        <v>257</v>
      </c>
      <c r="C482" s="1386"/>
      <c r="D482" s="1386"/>
      <c r="E482" s="1386"/>
      <c r="F482" s="1386"/>
      <c r="G482" s="1386"/>
      <c r="H482" s="1386"/>
      <c r="I482" s="1386"/>
      <c r="J482" s="1386"/>
      <c r="K482" s="1386"/>
      <c r="L482" s="1386"/>
      <c r="M482" s="1386"/>
      <c r="N482" s="1386"/>
      <c r="O482" s="1386"/>
      <c r="P482" s="1387"/>
      <c r="Q482" s="1304" t="s">
        <v>511</v>
      </c>
      <c r="R482" s="1305"/>
      <c r="S482" s="1308" t="s">
        <v>57</v>
      </c>
      <c r="T482" s="1309"/>
      <c r="U482" s="1309"/>
      <c r="V482" s="1309"/>
      <c r="W482" s="1309"/>
      <c r="X482" s="1309"/>
      <c r="Y482" s="1309"/>
      <c r="Z482" s="1309"/>
      <c r="AA482" s="1309"/>
      <c r="AB482" s="1309"/>
      <c r="AC482" s="1309"/>
      <c r="AD482" s="1309"/>
      <c r="AE482" s="1309"/>
      <c r="AF482" s="1309"/>
      <c r="AG482" s="1309"/>
      <c r="AH482" s="1309"/>
      <c r="AI482" s="1309"/>
      <c r="AJ482" s="1309"/>
      <c r="AK482" s="131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8"/>
      <c r="C483" s="1389"/>
      <c r="D483" s="1389"/>
      <c r="E483" s="1389"/>
      <c r="F483" s="1389"/>
      <c r="G483" s="1389"/>
      <c r="H483" s="1389"/>
      <c r="I483" s="1389"/>
      <c r="J483" s="1389"/>
      <c r="K483" s="1389"/>
      <c r="L483" s="1389"/>
      <c r="M483" s="1389"/>
      <c r="N483" s="1389"/>
      <c r="O483" s="1389"/>
      <c r="P483" s="1390"/>
      <c r="Q483" s="1306"/>
      <c r="R483" s="1307"/>
      <c r="S483" s="1311"/>
      <c r="T483" s="1312"/>
      <c r="U483" s="1312"/>
      <c r="V483" s="1312"/>
      <c r="W483" s="1312"/>
      <c r="X483" s="1312"/>
      <c r="Y483" s="1312"/>
      <c r="Z483" s="1312"/>
      <c r="AA483" s="1312"/>
      <c r="AB483" s="1312"/>
      <c r="AC483" s="1312"/>
      <c r="AD483" s="1312"/>
      <c r="AE483" s="1312"/>
      <c r="AF483" s="1312"/>
      <c r="AG483" s="1312"/>
      <c r="AH483" s="1312"/>
      <c r="AI483" s="1312"/>
      <c r="AJ483" s="1312"/>
      <c r="AK483" s="131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1" t="s">
        <v>2348</v>
      </c>
      <c r="C484" s="832"/>
      <c r="D484" s="832"/>
      <c r="E484" s="832"/>
      <c r="F484" s="832"/>
      <c r="G484" s="832"/>
      <c r="H484" s="832"/>
      <c r="I484" s="832"/>
      <c r="J484" s="832"/>
      <c r="K484" s="832"/>
      <c r="L484" s="832"/>
      <c r="M484" s="832"/>
      <c r="N484" s="832"/>
      <c r="O484" s="832"/>
      <c r="P484" s="832"/>
      <c r="Q484" s="1314"/>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7">
        <v>0</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7">
        <v>0</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1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17">
        <v>72</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1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36"/>
      <c r="N488" s="1237"/>
      <c r="O488" s="1237"/>
      <c r="P488" s="1238"/>
      <c r="Q488" s="214" t="s">
        <v>2083</v>
      </c>
      <c r="R488" s="9"/>
      <c r="S488" s="9"/>
      <c r="T488" s="9"/>
      <c r="U488" s="9"/>
      <c r="V488" s="9"/>
      <c r="W488" s="9"/>
      <c r="X488" s="9"/>
      <c r="Y488" s="9"/>
      <c r="Z488" s="9"/>
      <c r="AA488" s="9"/>
      <c r="AB488" s="9"/>
      <c r="AC488" s="9"/>
      <c r="AD488" s="9"/>
      <c r="AE488" s="9"/>
      <c r="AF488" s="9"/>
      <c r="AG488" s="9"/>
      <c r="AH488" s="1236">
        <v>72</v>
      </c>
      <c r="AI488" s="1237"/>
      <c r="AJ488" s="1237"/>
      <c r="AK488" s="123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29" t="s">
        <v>261</v>
      </c>
      <c r="AD492" s="1330"/>
      <c r="AE492" s="1330"/>
      <c r="AF492" s="1330"/>
      <c r="AG492" s="1330"/>
      <c r="AH492" s="1330"/>
      <c r="AI492" s="1330"/>
      <c r="AJ492" s="1330"/>
      <c r="AK492" s="133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29" t="s">
        <v>262</v>
      </c>
      <c r="AD493" s="1330"/>
      <c r="AE493" s="1330"/>
      <c r="AF493" s="1330"/>
      <c r="AG493" s="56" t="s">
        <v>263</v>
      </c>
      <c r="AH493" s="1330" t="s">
        <v>264</v>
      </c>
      <c r="AI493" s="1330"/>
      <c r="AJ493" s="1330"/>
      <c r="AK493" s="133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5" t="s">
        <v>265</v>
      </c>
      <c r="C494" s="1336"/>
      <c r="D494" s="1336"/>
      <c r="E494" s="1336"/>
      <c r="F494" s="1336"/>
      <c r="G494" s="1336"/>
      <c r="H494" s="1337"/>
      <c r="I494" s="7" t="s">
        <v>706</v>
      </c>
      <c r="J494" s="7"/>
      <c r="K494" s="7"/>
      <c r="L494" s="7"/>
      <c r="M494" s="7"/>
      <c r="N494" s="7"/>
      <c r="O494" s="7"/>
      <c r="P494" s="7"/>
      <c r="Q494" s="7"/>
      <c r="R494" s="7"/>
      <c r="S494" s="7"/>
      <c r="T494" s="7"/>
      <c r="U494" s="7"/>
      <c r="V494" s="7"/>
      <c r="W494" s="7"/>
      <c r="AC494" s="1284">
        <v>2</v>
      </c>
      <c r="AD494" s="1285"/>
      <c r="AE494" s="1285"/>
      <c r="AF494" s="1285"/>
      <c r="AG494" s="18" t="s">
        <v>263</v>
      </c>
      <c r="AH494" s="1147">
        <v>2023</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8"/>
      <c r="C495" s="1339"/>
      <c r="D495" s="1339"/>
      <c r="E495" s="1339"/>
      <c r="F495" s="1339"/>
      <c r="G495" s="1339"/>
      <c r="H495" s="1340"/>
      <c r="I495" s="54" t="s">
        <v>707</v>
      </c>
      <c r="J495" s="54"/>
      <c r="K495" s="54"/>
      <c r="L495" s="54"/>
      <c r="M495" s="54"/>
      <c r="N495" s="54"/>
      <c r="O495" s="54"/>
      <c r="P495" s="54"/>
      <c r="Q495" s="54"/>
      <c r="R495" s="54"/>
      <c r="S495" s="54"/>
      <c r="T495" s="54"/>
      <c r="U495" s="54"/>
      <c r="V495" s="54"/>
      <c r="W495" s="54"/>
      <c r="X495" s="54"/>
      <c r="Y495" s="54"/>
      <c r="Z495" s="54"/>
      <c r="AA495" s="54"/>
      <c r="AB495" s="54"/>
      <c r="AC495" s="1284">
        <v>12</v>
      </c>
      <c r="AD495" s="1285"/>
      <c r="AE495" s="1285"/>
      <c r="AF495" s="1285"/>
      <c r="AG495" s="47" t="s">
        <v>263</v>
      </c>
      <c r="AH495" s="1147">
        <v>2023</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5" t="s">
        <v>708</v>
      </c>
      <c r="C496" s="1336"/>
      <c r="D496" s="1336"/>
      <c r="E496" s="1336"/>
      <c r="F496" s="1336"/>
      <c r="G496" s="1336"/>
      <c r="H496" s="1337"/>
      <c r="I496" s="7" t="s">
        <v>709</v>
      </c>
      <c r="J496" s="7"/>
      <c r="K496" s="7"/>
      <c r="L496" s="7"/>
      <c r="M496" s="7"/>
      <c r="N496" s="7"/>
      <c r="O496" s="7"/>
      <c r="P496" s="7"/>
      <c r="Q496" s="7"/>
      <c r="R496" s="7"/>
      <c r="S496" s="7"/>
      <c r="T496" s="7"/>
      <c r="U496" s="7"/>
      <c r="V496" s="7"/>
      <c r="W496" s="7"/>
      <c r="AC496" s="1284" t="s">
        <v>132</v>
      </c>
      <c r="AD496" s="1285"/>
      <c r="AE496" s="1285"/>
      <c r="AF496" s="1285"/>
      <c r="AG496" s="18" t="s">
        <v>263</v>
      </c>
      <c r="AH496" s="1147" t="s">
        <v>132</v>
      </c>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8"/>
      <c r="C497" s="1339"/>
      <c r="D497" s="1339"/>
      <c r="E497" s="1339"/>
      <c r="F497" s="1339"/>
      <c r="G497" s="1339"/>
      <c r="H497" s="1340"/>
      <c r="I497" t="s">
        <v>710</v>
      </c>
      <c r="AC497" s="1284" t="s">
        <v>132</v>
      </c>
      <c r="AD497" s="1285"/>
      <c r="AE497" s="1285"/>
      <c r="AF497" s="1285"/>
      <c r="AG497" s="18" t="s">
        <v>263</v>
      </c>
      <c r="AH497" s="1147" t="s">
        <v>132</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8"/>
      <c r="C498" s="1339"/>
      <c r="D498" s="1339"/>
      <c r="E498" s="1339"/>
      <c r="F498" s="1339"/>
      <c r="G498" s="1339"/>
      <c r="H498" s="1340"/>
      <c r="I498" t="s">
        <v>711</v>
      </c>
      <c r="AC498" s="1284" t="s">
        <v>132</v>
      </c>
      <c r="AD498" s="1285"/>
      <c r="AE498" s="1285"/>
      <c r="AF498" s="1285"/>
      <c r="AG498" s="18" t="s">
        <v>263</v>
      </c>
      <c r="AH498" s="1147" t="s">
        <v>132</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8"/>
      <c r="C499" s="1339"/>
      <c r="D499" s="1339"/>
      <c r="E499" s="1339"/>
      <c r="F499" s="1339"/>
      <c r="G499" s="1339"/>
      <c r="H499" s="1340"/>
      <c r="I499" t="s">
        <v>712</v>
      </c>
      <c r="AC499" s="1284" t="s">
        <v>132</v>
      </c>
      <c r="AD499" s="1285"/>
      <c r="AE499" s="1285"/>
      <c r="AF499" s="1285"/>
      <c r="AG499" s="18" t="s">
        <v>263</v>
      </c>
      <c r="AH499" s="1147" t="s">
        <v>132</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8"/>
      <c r="C500" s="1339"/>
      <c r="D500" s="1339"/>
      <c r="E500" s="1339"/>
      <c r="F500" s="1339"/>
      <c r="G500" s="1339"/>
      <c r="H500" s="1340"/>
      <c r="I500" s="41" t="s">
        <v>713</v>
      </c>
      <c r="AC500" s="1286">
        <v>12</v>
      </c>
      <c r="AD500" s="1287"/>
      <c r="AE500" s="1287"/>
      <c r="AF500" s="1287"/>
      <c r="AG500" s="18" t="s">
        <v>263</v>
      </c>
      <c r="AH500" s="1147">
        <v>2023</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8"/>
      <c r="C501" s="1339"/>
      <c r="D501" s="1339"/>
      <c r="E501" s="1339"/>
      <c r="F501" s="1339"/>
      <c r="G501" s="1339"/>
      <c r="H501" s="1340"/>
      <c r="I501" s="412" t="s">
        <v>298</v>
      </c>
      <c r="J501" s="54"/>
      <c r="K501" s="54"/>
      <c r="L501" s="1321" t="s">
        <v>592</v>
      </c>
      <c r="M501" s="1297"/>
      <c r="N501" s="1297"/>
      <c r="O501" s="1297"/>
      <c r="P501" s="1297"/>
      <c r="Q501" s="1297"/>
      <c r="R501" s="1297"/>
      <c r="S501" s="1297"/>
      <c r="T501" s="1297"/>
      <c r="U501" s="1297"/>
      <c r="V501" s="1297"/>
      <c r="W501" s="1297"/>
      <c r="X501" s="1297"/>
      <c r="Y501" s="1297"/>
      <c r="Z501" s="1297"/>
      <c r="AA501" s="1297"/>
      <c r="AB501" s="1322"/>
      <c r="AC501" s="1381" t="s">
        <v>132</v>
      </c>
      <c r="AD501" s="1382"/>
      <c r="AE501" s="1382"/>
      <c r="AF501" s="1382"/>
      <c r="AG501" s="47" t="s">
        <v>263</v>
      </c>
      <c r="AH501" s="1147" t="s">
        <v>132</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8"/>
      <c r="C502" s="1339"/>
      <c r="D502" s="1339"/>
      <c r="E502" s="1339"/>
      <c r="F502" s="1339"/>
      <c r="G502" s="1339"/>
      <c r="H502" s="1340"/>
      <c r="I502" s="41" t="s">
        <v>2084</v>
      </c>
      <c r="AC502" s="1418" t="s">
        <v>511</v>
      </c>
      <c r="AD502" s="1418"/>
      <c r="AE502" s="1418"/>
      <c r="AF502" s="1418"/>
      <c r="AG502" s="18"/>
      <c r="AH502" s="1046"/>
      <c r="AI502" s="1046"/>
      <c r="AJ502" s="1046"/>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8"/>
      <c r="C503" s="1339"/>
      <c r="D503" s="1339"/>
      <c r="E503" s="1339"/>
      <c r="F503" s="1339"/>
      <c r="G503" s="1339"/>
      <c r="H503" s="1340"/>
      <c r="I503" t="s">
        <v>2085</v>
      </c>
      <c r="AC503" s="1286"/>
      <c r="AD503" s="1287"/>
      <c r="AE503" s="1287"/>
      <c r="AF503" s="1288"/>
      <c r="AG503" s="18"/>
      <c r="AH503" s="1046"/>
      <c r="AI503" s="1046"/>
      <c r="AJ503" s="1046"/>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8"/>
      <c r="C504" s="1339"/>
      <c r="D504" s="1339"/>
      <c r="E504" s="1339"/>
      <c r="F504" s="1339"/>
      <c r="G504" s="1339"/>
      <c r="H504" s="1340"/>
      <c r="I504" t="s">
        <v>2086</v>
      </c>
      <c r="AC504" s="852"/>
      <c r="AD504" s="853"/>
      <c r="AE504" s="853"/>
      <c r="AF504" s="854"/>
      <c r="AG504" s="18"/>
      <c r="AH504" s="1"/>
      <c r="AI504" s="1"/>
      <c r="AJ504" s="1"/>
      <c r="AK504" s="855"/>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8"/>
      <c r="C505" s="1339"/>
      <c r="D505" s="1339"/>
      <c r="E505" s="1339"/>
      <c r="F505" s="1339"/>
      <c r="G505" s="1339"/>
      <c r="H505" s="1340"/>
      <c r="I505" s="856" t="s">
        <v>2087</v>
      </c>
      <c r="J505" s="54"/>
      <c r="K505" s="54"/>
      <c r="L505" s="54"/>
      <c r="M505" s="54"/>
      <c r="N505" s="54"/>
      <c r="O505" s="54"/>
      <c r="P505" s="54"/>
      <c r="Q505" s="54"/>
      <c r="R505" s="54"/>
      <c r="S505" s="54"/>
      <c r="T505" s="54"/>
      <c r="U505" s="54"/>
      <c r="V505" s="54"/>
      <c r="W505" s="54"/>
      <c r="X505" s="54"/>
      <c r="Y505" s="54"/>
      <c r="Z505" s="54"/>
      <c r="AA505" s="54"/>
      <c r="AB505" s="54"/>
      <c r="AC505" s="1290"/>
      <c r="AD505" s="1291"/>
      <c r="AE505" s="1291"/>
      <c r="AF505" s="1292"/>
      <c r="AG505" s="47"/>
      <c r="AH505" s="1357"/>
      <c r="AI505" s="1357"/>
      <c r="AJ505" s="1357"/>
      <c r="AK505" s="135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5" t="s">
        <v>714</v>
      </c>
      <c r="C506" s="1336"/>
      <c r="D506" s="1336"/>
      <c r="E506" s="1336"/>
      <c r="F506" s="1336"/>
      <c r="G506" s="1336"/>
      <c r="H506" s="1337"/>
      <c r="I506" s="7" t="s">
        <v>715</v>
      </c>
      <c r="J506" s="7"/>
      <c r="K506" s="7"/>
      <c r="L506" s="7"/>
      <c r="M506" s="7"/>
      <c r="N506" s="7"/>
      <c r="O506" s="7"/>
      <c r="P506" s="7"/>
      <c r="Q506" s="7"/>
      <c r="R506" s="7"/>
      <c r="S506" s="7"/>
      <c r="T506" s="7"/>
      <c r="U506" s="7"/>
      <c r="V506" s="7"/>
      <c r="W506" s="7"/>
      <c r="AC506" s="1284">
        <v>8</v>
      </c>
      <c r="AD506" s="1285"/>
      <c r="AE506" s="1285"/>
      <c r="AF506" s="1285"/>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8"/>
      <c r="C507" s="1339"/>
      <c r="D507" s="1339"/>
      <c r="E507" s="1339"/>
      <c r="F507" s="1339"/>
      <c r="G507" s="1339"/>
      <c r="H507" s="1340"/>
      <c r="I507" t="s">
        <v>716</v>
      </c>
      <c r="AC507" s="1284">
        <v>8</v>
      </c>
      <c r="AD507" s="1285"/>
      <c r="AE507" s="1285"/>
      <c r="AF507" s="1285"/>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8"/>
      <c r="C508" s="1339"/>
      <c r="D508" s="1339"/>
      <c r="E508" s="1339"/>
      <c r="F508" s="1339"/>
      <c r="G508" s="1339"/>
      <c r="H508" s="1340"/>
      <c r="I508" s="54" t="s">
        <v>717</v>
      </c>
      <c r="J508" s="54"/>
      <c r="K508" s="54"/>
      <c r="L508" s="54"/>
      <c r="M508" s="54"/>
      <c r="N508" s="54"/>
      <c r="O508" s="54"/>
      <c r="P508" s="54"/>
      <c r="Q508" s="54"/>
      <c r="R508" s="54"/>
      <c r="S508" s="54"/>
      <c r="T508" s="54"/>
      <c r="U508" s="54"/>
      <c r="V508" s="54"/>
      <c r="W508" s="54"/>
      <c r="X508" s="54"/>
      <c r="Y508" s="54"/>
      <c r="Z508" s="54"/>
      <c r="AA508" s="54"/>
      <c r="AB508" s="54"/>
      <c r="AC508" s="1284">
        <v>12</v>
      </c>
      <c r="AD508" s="1285"/>
      <c r="AE508" s="1285"/>
      <c r="AF508" s="1285"/>
      <c r="AG508" s="47" t="s">
        <v>263</v>
      </c>
      <c r="AH508" s="1147">
        <v>2023</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5" t="s">
        <v>718</v>
      </c>
      <c r="C509" s="1336"/>
      <c r="D509" s="1336"/>
      <c r="E509" s="1336"/>
      <c r="F509" s="1336"/>
      <c r="G509" s="1336"/>
      <c r="H509" s="1337"/>
      <c r="I509" s="7" t="s">
        <v>715</v>
      </c>
      <c r="J509" s="7"/>
      <c r="K509" s="7"/>
      <c r="L509" s="7"/>
      <c r="M509" s="7"/>
      <c r="N509" s="7"/>
      <c r="O509" s="7"/>
      <c r="P509" s="7"/>
      <c r="Q509" s="7"/>
      <c r="R509" s="7"/>
      <c r="S509" s="7"/>
      <c r="T509" s="7"/>
      <c r="U509" s="7"/>
      <c r="V509" s="7"/>
      <c r="W509" s="7"/>
      <c r="X509" s="7"/>
      <c r="Y509" s="7"/>
      <c r="Z509" s="7"/>
      <c r="AA509" s="7"/>
      <c r="AB509" s="7"/>
      <c r="AC509" s="1355">
        <v>8</v>
      </c>
      <c r="AD509" s="1356"/>
      <c r="AE509" s="1356"/>
      <c r="AF509" s="1356"/>
      <c r="AG509" s="230" t="s">
        <v>263</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8"/>
      <c r="C510" s="1339"/>
      <c r="D510" s="1339"/>
      <c r="E510" s="1339"/>
      <c r="F510" s="1339"/>
      <c r="G510" s="1339"/>
      <c r="H510" s="1340"/>
      <c r="I510" t="s">
        <v>716</v>
      </c>
      <c r="AC510" s="1284">
        <v>8</v>
      </c>
      <c r="AD510" s="1285"/>
      <c r="AE510" s="1285"/>
      <c r="AF510" s="1285"/>
      <c r="AG510" s="18" t="s">
        <v>263</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0"/>
      <c r="C511" s="1371"/>
      <c r="D511" s="1371"/>
      <c r="E511" s="1371"/>
      <c r="F511" s="1371"/>
      <c r="G511" s="1371"/>
      <c r="H511" s="1372"/>
      <c r="I511" s="54" t="s">
        <v>717</v>
      </c>
      <c r="J511" s="54"/>
      <c r="K511" s="54"/>
      <c r="L511" s="54"/>
      <c r="M511" s="54"/>
      <c r="N511" s="54"/>
      <c r="O511" s="54"/>
      <c r="P511" s="54"/>
      <c r="Q511" s="54"/>
      <c r="R511" s="54"/>
      <c r="S511" s="54"/>
      <c r="T511" s="54"/>
      <c r="U511" s="54"/>
      <c r="V511" s="54"/>
      <c r="W511" s="54"/>
      <c r="X511" s="54"/>
      <c r="Y511" s="54"/>
      <c r="Z511" s="54"/>
      <c r="AA511" s="54"/>
      <c r="AB511" s="54"/>
      <c r="AC511" s="1284">
        <v>12</v>
      </c>
      <c r="AD511" s="1285"/>
      <c r="AE511" s="1285"/>
      <c r="AF511" s="1285"/>
      <c r="AG511" s="47" t="s">
        <v>263</v>
      </c>
      <c r="AH511" s="1147">
        <v>2023</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5" t="s">
        <v>719</v>
      </c>
      <c r="C512" s="1336"/>
      <c r="D512" s="1336"/>
      <c r="E512" s="1336"/>
      <c r="F512" s="1336"/>
      <c r="G512" s="1336"/>
      <c r="H512" s="1337"/>
      <c r="I512" s="6" t="s">
        <v>720</v>
      </c>
      <c r="J512" s="7"/>
      <c r="K512" s="7"/>
      <c r="L512" s="7"/>
      <c r="M512" s="7"/>
      <c r="N512" s="7"/>
      <c r="O512" s="1321" t="s">
        <v>2433</v>
      </c>
      <c r="P512" s="1297"/>
      <c r="Q512" s="1297"/>
      <c r="R512" s="1297"/>
      <c r="S512" s="1297"/>
      <c r="T512" s="1297"/>
      <c r="U512" s="1297"/>
      <c r="V512" s="1297"/>
      <c r="W512" s="1297"/>
      <c r="X512" s="1297"/>
      <c r="Y512" s="1297"/>
      <c r="Z512" s="1297"/>
      <c r="AA512" s="1297"/>
      <c r="AB512" s="64"/>
      <c r="AC512" s="1355">
        <v>8</v>
      </c>
      <c r="AD512" s="1356"/>
      <c r="AE512" s="1356"/>
      <c r="AF512" s="1356"/>
      <c r="AG512" s="230" t="s">
        <v>263</v>
      </c>
      <c r="AH512" s="1147">
        <v>2023</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8"/>
      <c r="C513" s="1339"/>
      <c r="D513" s="1339"/>
      <c r="E513" s="1339"/>
      <c r="F513" s="1339"/>
      <c r="G513" s="1339"/>
      <c r="H513" s="1340"/>
      <c r="I513" s="204" t="s">
        <v>721</v>
      </c>
      <c r="AB513" s="71"/>
      <c r="AC513" s="1284">
        <v>8</v>
      </c>
      <c r="AD513" s="1285"/>
      <c r="AE513" s="1285"/>
      <c r="AF513" s="1285"/>
      <c r="AG513" s="18" t="s">
        <v>263</v>
      </c>
      <c r="AH513" s="1147">
        <v>2023</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8"/>
      <c r="C514" s="1339"/>
      <c r="D514" s="1339"/>
      <c r="E514" s="1339"/>
      <c r="F514" s="1339"/>
      <c r="G514" s="1339"/>
      <c r="H514" s="1340"/>
      <c r="I514" s="53" t="s">
        <v>722</v>
      </c>
      <c r="J514" s="54"/>
      <c r="K514" s="54"/>
      <c r="L514" s="54"/>
      <c r="M514" s="54"/>
      <c r="N514" s="54"/>
      <c r="O514" s="54"/>
      <c r="P514" s="54"/>
      <c r="Q514" s="54"/>
      <c r="R514" s="54"/>
      <c r="S514" s="54"/>
      <c r="T514" s="54"/>
      <c r="U514" s="54"/>
      <c r="V514" s="54"/>
      <c r="W514" s="54"/>
      <c r="X514" s="54"/>
      <c r="Y514" s="54"/>
      <c r="Z514" s="54"/>
      <c r="AA514" s="54"/>
      <c r="AB514" s="55"/>
      <c r="AC514" s="1284">
        <v>12</v>
      </c>
      <c r="AD514" s="1285"/>
      <c r="AE514" s="1285"/>
      <c r="AF514" s="1285"/>
      <c r="AG514" s="47" t="s">
        <v>263</v>
      </c>
      <c r="AH514" s="1147">
        <v>2023</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8"/>
      <c r="C515" s="1339"/>
      <c r="D515" s="1339"/>
      <c r="E515" s="1339"/>
      <c r="F515" s="1339"/>
      <c r="G515" s="1339"/>
      <c r="H515" s="1340"/>
      <c r="I515" s="7" t="s">
        <v>723</v>
      </c>
      <c r="J515" s="7"/>
      <c r="K515" s="7"/>
      <c r="L515" s="7"/>
      <c r="M515" s="7"/>
      <c r="N515" s="7"/>
      <c r="O515" s="1321" t="s">
        <v>592</v>
      </c>
      <c r="P515" s="1297"/>
      <c r="Q515" s="1297"/>
      <c r="R515" s="1297"/>
      <c r="S515" s="1297"/>
      <c r="T515" s="1297"/>
      <c r="U515" s="1297"/>
      <c r="V515" s="1297"/>
      <c r="W515" s="1297"/>
      <c r="X515" s="1297"/>
      <c r="Y515" s="1297"/>
      <c r="Z515" s="1297"/>
      <c r="AA515" s="1297"/>
      <c r="AC515" s="1284" t="s">
        <v>132</v>
      </c>
      <c r="AD515" s="1285"/>
      <c r="AE515" s="1285"/>
      <c r="AF515" s="1285"/>
      <c r="AG515" s="18" t="s">
        <v>263</v>
      </c>
      <c r="AH515" s="1147"/>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8"/>
      <c r="C516" s="1339"/>
      <c r="D516" s="1339"/>
      <c r="E516" s="1339"/>
      <c r="F516" s="1339"/>
      <c r="G516" s="1339"/>
      <c r="H516" s="1340"/>
      <c r="I516" t="s">
        <v>721</v>
      </c>
      <c r="AC516" s="1284" t="s">
        <v>132</v>
      </c>
      <c r="AD516" s="1285"/>
      <c r="AE516" s="1285"/>
      <c r="AF516" s="1285"/>
      <c r="AG516" s="18" t="s">
        <v>263</v>
      </c>
      <c r="AH516" s="1147"/>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8"/>
      <c r="C517" s="1339"/>
      <c r="D517" s="1339"/>
      <c r="E517" s="1339"/>
      <c r="F517" s="1339"/>
      <c r="G517" s="1339"/>
      <c r="H517" s="1340"/>
      <c r="I517" s="54" t="s">
        <v>722</v>
      </c>
      <c r="J517" s="54"/>
      <c r="K517" s="54"/>
      <c r="L517" s="54"/>
      <c r="M517" s="54"/>
      <c r="N517" s="54"/>
      <c r="O517" s="54"/>
      <c r="P517" s="54"/>
      <c r="Q517" s="54"/>
      <c r="R517" s="54"/>
      <c r="S517" s="54"/>
      <c r="T517" s="54"/>
      <c r="U517" s="54"/>
      <c r="V517" s="54"/>
      <c r="W517" s="54"/>
      <c r="X517" s="54"/>
      <c r="Y517" s="54"/>
      <c r="Z517" s="54"/>
      <c r="AA517" s="54"/>
      <c r="AB517" s="54"/>
      <c r="AC517" s="1284" t="s">
        <v>132</v>
      </c>
      <c r="AD517" s="1285"/>
      <c r="AE517" s="1285"/>
      <c r="AF517" s="1285"/>
      <c r="AG517" s="47" t="s">
        <v>263</v>
      </c>
      <c r="AH517" s="1147"/>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8"/>
      <c r="C518" s="1339"/>
      <c r="D518" s="1339"/>
      <c r="E518" s="1339"/>
      <c r="F518" s="1339"/>
      <c r="G518" s="1339"/>
      <c r="H518" s="1340"/>
      <c r="I518" s="7" t="s">
        <v>723</v>
      </c>
      <c r="J518" s="7"/>
      <c r="K518" s="7"/>
      <c r="L518" s="7"/>
      <c r="M518" s="7"/>
      <c r="N518" s="7"/>
      <c r="O518" s="1321" t="s">
        <v>592</v>
      </c>
      <c r="P518" s="1297"/>
      <c r="Q518" s="1297"/>
      <c r="R518" s="1297"/>
      <c r="S518" s="1297"/>
      <c r="T518" s="1297"/>
      <c r="U518" s="1297"/>
      <c r="V518" s="1297"/>
      <c r="W518" s="1297"/>
      <c r="X518" s="1297"/>
      <c r="Y518" s="1297"/>
      <c r="Z518" s="1297"/>
      <c r="AA518" s="1297"/>
      <c r="AC518" s="1284" t="s">
        <v>132</v>
      </c>
      <c r="AD518" s="1285"/>
      <c r="AE518" s="1285"/>
      <c r="AF518" s="1285"/>
      <c r="AG518" s="18" t="s">
        <v>263</v>
      </c>
      <c r="AH518" s="1147"/>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8"/>
      <c r="C519" s="1339"/>
      <c r="D519" s="1339"/>
      <c r="E519" s="1339"/>
      <c r="F519" s="1339"/>
      <c r="G519" s="1339"/>
      <c r="H519" s="1340"/>
      <c r="I519" t="s">
        <v>721</v>
      </c>
      <c r="AC519" s="1284" t="s">
        <v>132</v>
      </c>
      <c r="AD519" s="1285"/>
      <c r="AE519" s="1285"/>
      <c r="AF519" s="1285"/>
      <c r="AG519" s="18" t="s">
        <v>263</v>
      </c>
      <c r="AH519" s="1147"/>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8"/>
      <c r="C520" s="1339"/>
      <c r="D520" s="1339"/>
      <c r="E520" s="1339"/>
      <c r="F520" s="1339"/>
      <c r="G520" s="1339"/>
      <c r="H520" s="1340"/>
      <c r="I520" s="54" t="s">
        <v>722</v>
      </c>
      <c r="J520" s="54"/>
      <c r="K520" s="54"/>
      <c r="L520" s="54"/>
      <c r="M520" s="54"/>
      <c r="N520" s="54"/>
      <c r="O520" s="54"/>
      <c r="P520" s="54"/>
      <c r="Q520" s="54"/>
      <c r="R520" s="54"/>
      <c r="S520" s="54"/>
      <c r="T520" s="54"/>
      <c r="U520" s="54"/>
      <c r="V520" s="54"/>
      <c r="W520" s="54"/>
      <c r="X520" s="54"/>
      <c r="Y520" s="54"/>
      <c r="Z520" s="54"/>
      <c r="AA520" s="54"/>
      <c r="AB520" s="54"/>
      <c r="AC520" s="1284" t="s">
        <v>132</v>
      </c>
      <c r="AD520" s="1285"/>
      <c r="AE520" s="1285"/>
      <c r="AF520" s="1285"/>
      <c r="AG520" s="47" t="s">
        <v>263</v>
      </c>
      <c r="AH520" s="1147"/>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8"/>
      <c r="C521" s="1339"/>
      <c r="D521" s="1339"/>
      <c r="E521" s="1339"/>
      <c r="F521" s="1339"/>
      <c r="G521" s="1339"/>
      <c r="H521" s="1340"/>
      <c r="I521" s="7" t="s">
        <v>723</v>
      </c>
      <c r="J521" s="7"/>
      <c r="K521" s="7"/>
      <c r="L521" s="7"/>
      <c r="M521" s="7"/>
      <c r="N521" s="7"/>
      <c r="O521" s="1321" t="s">
        <v>592</v>
      </c>
      <c r="P521" s="1297"/>
      <c r="Q521" s="1297"/>
      <c r="R521" s="1297"/>
      <c r="S521" s="1297"/>
      <c r="T521" s="1297"/>
      <c r="U521" s="1297"/>
      <c r="V521" s="1297"/>
      <c r="W521" s="1297"/>
      <c r="X521" s="1297"/>
      <c r="Y521" s="1297"/>
      <c r="Z521" s="1297"/>
      <c r="AA521" s="1297"/>
      <c r="AC521" s="1284" t="s">
        <v>132</v>
      </c>
      <c r="AD521" s="1285"/>
      <c r="AE521" s="1285"/>
      <c r="AF521" s="1285"/>
      <c r="AG521" s="18" t="s">
        <v>263</v>
      </c>
      <c r="AH521" s="1147"/>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8"/>
      <c r="C522" s="1339"/>
      <c r="D522" s="1339"/>
      <c r="E522" s="1339"/>
      <c r="F522" s="1339"/>
      <c r="G522" s="1339"/>
      <c r="H522" s="1340"/>
      <c r="I522" t="s">
        <v>721</v>
      </c>
      <c r="AC522" s="1284" t="s">
        <v>132</v>
      </c>
      <c r="AD522" s="1285"/>
      <c r="AE522" s="1285"/>
      <c r="AF522" s="1285"/>
      <c r="AG522" s="18" t="s">
        <v>263</v>
      </c>
      <c r="AH522" s="1147"/>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8"/>
      <c r="C523" s="1339"/>
      <c r="D523" s="1339"/>
      <c r="E523" s="1339"/>
      <c r="F523" s="1339"/>
      <c r="G523" s="1339"/>
      <c r="H523" s="1340"/>
      <c r="I523" s="54" t="s">
        <v>722</v>
      </c>
      <c r="J523" s="54"/>
      <c r="K523" s="54"/>
      <c r="L523" s="54"/>
      <c r="M523" s="54"/>
      <c r="N523" s="54"/>
      <c r="O523" s="54"/>
      <c r="P523" s="54"/>
      <c r="Q523" s="54"/>
      <c r="R523" s="54"/>
      <c r="S523" s="54"/>
      <c r="T523" s="54"/>
      <c r="U523" s="54"/>
      <c r="V523" s="54"/>
      <c r="W523" s="54"/>
      <c r="X523" s="54"/>
      <c r="Y523" s="54"/>
      <c r="Z523" s="54"/>
      <c r="AA523" s="54"/>
      <c r="AB523" s="54"/>
      <c r="AC523" s="1284" t="s">
        <v>132</v>
      </c>
      <c r="AD523" s="1285"/>
      <c r="AE523" s="1285"/>
      <c r="AF523" s="1285"/>
      <c r="AG523" s="47" t="s">
        <v>263</v>
      </c>
      <c r="AH523" s="1147"/>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8"/>
      <c r="C524" s="1339"/>
      <c r="D524" s="1339"/>
      <c r="E524" s="1339"/>
      <c r="F524" s="1339"/>
      <c r="G524" s="1339"/>
      <c r="H524" s="1340"/>
      <c r="I524" s="7" t="s">
        <v>723</v>
      </c>
      <c r="J524" s="7"/>
      <c r="K524" s="7"/>
      <c r="L524" s="7"/>
      <c r="M524" s="7"/>
      <c r="N524" s="7"/>
      <c r="O524" s="1321" t="s">
        <v>592</v>
      </c>
      <c r="P524" s="1297"/>
      <c r="Q524" s="1297"/>
      <c r="R524" s="1297"/>
      <c r="S524" s="1297"/>
      <c r="T524" s="1297"/>
      <c r="U524" s="1297"/>
      <c r="V524" s="1297"/>
      <c r="W524" s="1297"/>
      <c r="X524" s="1297"/>
      <c r="Y524" s="1297"/>
      <c r="Z524" s="1297"/>
      <c r="AA524" s="1297"/>
      <c r="AC524" s="1284" t="s">
        <v>132</v>
      </c>
      <c r="AD524" s="1285"/>
      <c r="AE524" s="1285"/>
      <c r="AF524" s="1285"/>
      <c r="AG524" s="18" t="s">
        <v>263</v>
      </c>
      <c r="AH524" s="1147"/>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8"/>
      <c r="C525" s="1339"/>
      <c r="D525" s="1339"/>
      <c r="E525" s="1339"/>
      <c r="F525" s="1339"/>
      <c r="G525" s="1339"/>
      <c r="H525" s="1340"/>
      <c r="I525" t="s">
        <v>721</v>
      </c>
      <c r="AC525" s="1284" t="s">
        <v>132</v>
      </c>
      <c r="AD525" s="1285"/>
      <c r="AE525" s="1285"/>
      <c r="AF525" s="1285"/>
      <c r="AG525" s="47" t="s">
        <v>263</v>
      </c>
      <c r="AH525" s="1147"/>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8"/>
      <c r="C526" s="1339"/>
      <c r="D526" s="1339"/>
      <c r="E526" s="1339"/>
      <c r="F526" s="1339"/>
      <c r="G526" s="1339"/>
      <c r="H526" s="1340"/>
      <c r="I526" s="54" t="s">
        <v>722</v>
      </c>
      <c r="J526" s="54"/>
      <c r="K526" s="54"/>
      <c r="L526" s="54"/>
      <c r="M526" s="54"/>
      <c r="N526" s="54"/>
      <c r="O526" s="54"/>
      <c r="P526" s="54"/>
      <c r="Q526" s="54"/>
      <c r="R526" s="54"/>
      <c r="S526" s="54"/>
      <c r="T526" s="54"/>
      <c r="U526" s="54"/>
      <c r="V526" s="54"/>
      <c r="W526" s="54"/>
      <c r="X526" s="54"/>
      <c r="Y526" s="54"/>
      <c r="Z526" s="54"/>
      <c r="AA526" s="54"/>
      <c r="AB526" s="54"/>
      <c r="AC526" s="1284" t="s">
        <v>132</v>
      </c>
      <c r="AD526" s="1285"/>
      <c r="AE526" s="1285"/>
      <c r="AF526" s="1285"/>
      <c r="AG526" s="18" t="s">
        <v>263</v>
      </c>
      <c r="AH526" s="1147"/>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8"/>
      <c r="C527" s="1339"/>
      <c r="D527" s="1339"/>
      <c r="E527" s="1339"/>
      <c r="F527" s="1339"/>
      <c r="G527" s="1339"/>
      <c r="H527" s="1340"/>
      <c r="I527" s="7" t="s">
        <v>723</v>
      </c>
      <c r="J527" s="7"/>
      <c r="K527" s="7"/>
      <c r="L527" s="7"/>
      <c r="M527" s="7"/>
      <c r="N527" s="7"/>
      <c r="O527" s="1321" t="s">
        <v>592</v>
      </c>
      <c r="P527" s="1297"/>
      <c r="Q527" s="1297"/>
      <c r="R527" s="1297"/>
      <c r="S527" s="1297"/>
      <c r="T527" s="1297"/>
      <c r="U527" s="1297"/>
      <c r="V527" s="1297"/>
      <c r="W527" s="1297"/>
      <c r="X527" s="1297"/>
      <c r="Y527" s="1297"/>
      <c r="Z527" s="1297"/>
      <c r="AA527" s="1297"/>
      <c r="AC527" s="1284" t="s">
        <v>132</v>
      </c>
      <c r="AD527" s="1285"/>
      <c r="AE527" s="1285"/>
      <c r="AF527" s="1285"/>
      <c r="AG527" s="47" t="s">
        <v>263</v>
      </c>
      <c r="AH527" s="1147"/>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8"/>
      <c r="C528" s="1339"/>
      <c r="D528" s="1339"/>
      <c r="E528" s="1339"/>
      <c r="F528" s="1339"/>
      <c r="G528" s="1339"/>
      <c r="H528" s="1340"/>
      <c r="I528" t="s">
        <v>721</v>
      </c>
      <c r="AC528" s="1284" t="s">
        <v>132</v>
      </c>
      <c r="AD528" s="1285"/>
      <c r="AE528" s="1285"/>
      <c r="AF528" s="1285"/>
      <c r="AG528" s="18" t="s">
        <v>263</v>
      </c>
      <c r="AH528" s="1147"/>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8"/>
      <c r="C529" s="1339"/>
      <c r="D529" s="1339"/>
      <c r="E529" s="1339"/>
      <c r="F529" s="1339"/>
      <c r="G529" s="1339"/>
      <c r="H529" s="1340"/>
      <c r="I529" s="54" t="s">
        <v>722</v>
      </c>
      <c r="J529" s="54"/>
      <c r="K529" s="54"/>
      <c r="L529" s="54"/>
      <c r="M529" s="54"/>
      <c r="N529" s="54"/>
      <c r="O529" s="54"/>
      <c r="P529" s="54"/>
      <c r="Q529" s="54"/>
      <c r="R529" s="54"/>
      <c r="S529" s="54"/>
      <c r="T529" s="54"/>
      <c r="U529" s="54"/>
      <c r="V529" s="54"/>
      <c r="W529" s="54"/>
      <c r="X529" s="54"/>
      <c r="Y529" s="54"/>
      <c r="Z529" s="54"/>
      <c r="AA529" s="54"/>
      <c r="AB529" s="54"/>
      <c r="AC529" s="1284" t="s">
        <v>132</v>
      </c>
      <c r="AD529" s="1285"/>
      <c r="AE529" s="1285"/>
      <c r="AF529" s="1285"/>
      <c r="AG529" s="47" t="s">
        <v>263</v>
      </c>
      <c r="AH529" s="1147"/>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8"/>
      <c r="C530" s="1339"/>
      <c r="D530" s="1339"/>
      <c r="E530" s="1339"/>
      <c r="F530" s="1339"/>
      <c r="G530" s="1339"/>
      <c r="H530" s="1340"/>
      <c r="I530" s="7" t="s">
        <v>770</v>
      </c>
      <c r="J530" s="7"/>
      <c r="K530" s="7"/>
      <c r="L530" s="7"/>
      <c r="M530" s="7"/>
      <c r="N530" s="7"/>
      <c r="O530" s="7"/>
      <c r="P530" s="7"/>
      <c r="Q530" s="7"/>
      <c r="R530" s="7"/>
      <c r="S530" s="7"/>
      <c r="T530" s="7"/>
      <c r="U530" s="7"/>
      <c r="V530" s="7"/>
      <c r="W530" s="7"/>
      <c r="AC530" s="1284">
        <v>12</v>
      </c>
      <c r="AD530" s="1285"/>
      <c r="AE530" s="1285"/>
      <c r="AF530" s="1285"/>
      <c r="AG530" s="47" t="s">
        <v>263</v>
      </c>
      <c r="AH530" s="1147">
        <v>2023</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8"/>
      <c r="C531" s="1339"/>
      <c r="D531" s="1339"/>
      <c r="E531" s="1339"/>
      <c r="F531" s="1339"/>
      <c r="G531" s="1339"/>
      <c r="H531" s="1340"/>
      <c r="I531" t="s">
        <v>771</v>
      </c>
      <c r="AC531" s="1284">
        <v>1</v>
      </c>
      <c r="AD531" s="1285"/>
      <c r="AE531" s="1285"/>
      <c r="AF531" s="1285"/>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8"/>
      <c r="C532" s="1339"/>
      <c r="D532" s="1339"/>
      <c r="E532" s="1339"/>
      <c r="F532" s="1339"/>
      <c r="G532" s="1339"/>
      <c r="H532" s="1340"/>
      <c r="I532" t="s">
        <v>772</v>
      </c>
      <c r="AC532" s="1284">
        <v>10</v>
      </c>
      <c r="AD532" s="1285"/>
      <c r="AE532" s="1285"/>
      <c r="AF532" s="1285"/>
      <c r="AG532" s="47" t="s">
        <v>263</v>
      </c>
      <c r="AH532" s="1147">
        <v>2024</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8"/>
      <c r="C533" s="1339"/>
      <c r="D533" s="1339"/>
      <c r="E533" s="1339"/>
      <c r="F533" s="1339"/>
      <c r="G533" s="1339"/>
      <c r="H533" s="1340"/>
      <c r="I533" t="s">
        <v>773</v>
      </c>
      <c r="AC533" s="1284">
        <v>12</v>
      </c>
      <c r="AD533" s="1285"/>
      <c r="AE533" s="1285"/>
      <c r="AF533" s="1285"/>
      <c r="AG533" s="47" t="s">
        <v>263</v>
      </c>
      <c r="AH533" s="1147">
        <v>2024</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0"/>
      <c r="C534" s="1371"/>
      <c r="D534" s="1371"/>
      <c r="E534" s="1371"/>
      <c r="F534" s="1371"/>
      <c r="G534" s="1371"/>
      <c r="H534" s="1372"/>
      <c r="I534" s="54" t="s">
        <v>1427</v>
      </c>
      <c r="J534" s="54"/>
      <c r="K534" s="54"/>
      <c r="L534" s="54"/>
      <c r="M534" s="54"/>
      <c r="N534" s="54"/>
      <c r="O534" s="54"/>
      <c r="P534" s="54"/>
      <c r="Q534" s="54"/>
      <c r="R534" s="54"/>
      <c r="S534" s="54"/>
      <c r="T534" s="54"/>
      <c r="U534" s="54"/>
      <c r="V534" s="54"/>
      <c r="W534" s="54"/>
      <c r="X534" s="54"/>
      <c r="Y534" s="54"/>
      <c r="Z534" s="54"/>
      <c r="AA534" s="54"/>
      <c r="AB534" s="54"/>
      <c r="AC534" s="1284">
        <v>12</v>
      </c>
      <c r="AD534" s="1285"/>
      <c r="AE534" s="1285"/>
      <c r="AF534" s="1285"/>
      <c r="AG534" s="47" t="s">
        <v>263</v>
      </c>
      <c r="AH534" s="1147">
        <v>2024</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7"/>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5" t="s">
        <v>2324</v>
      </c>
      <c r="C543" s="1336"/>
      <c r="D543" s="1336"/>
      <c r="E543" s="1336"/>
      <c r="F543" s="1336"/>
      <c r="G543" s="1336"/>
      <c r="H543" s="1336"/>
      <c r="I543" s="1336"/>
      <c r="J543" s="1336"/>
      <c r="K543" s="1336"/>
      <c r="L543" s="1336"/>
      <c r="M543" s="1424" t="s">
        <v>2298</v>
      </c>
      <c r="N543" s="1424"/>
      <c r="O543" s="1424"/>
      <c r="P543" s="1424"/>
      <c r="Q543" s="1335" t="s">
        <v>469</v>
      </c>
      <c r="R543" s="1336"/>
      <c r="S543" s="1337"/>
      <c r="T543" s="1335" t="s">
        <v>2088</v>
      </c>
      <c r="U543" s="1336"/>
      <c r="V543" s="1337"/>
      <c r="W543" s="1335" t="s">
        <v>775</v>
      </c>
      <c r="X543" s="1336"/>
      <c r="Y543" s="1337"/>
      <c r="Z543" s="1335" t="s">
        <v>2090</v>
      </c>
      <c r="AA543" s="1336"/>
      <c r="AB543" s="1336"/>
      <c r="AC543" s="1336"/>
      <c r="AD543" s="1337"/>
      <c r="AE543" s="1335" t="s">
        <v>2089</v>
      </c>
      <c r="AF543" s="1336"/>
      <c r="AG543" s="1336"/>
      <c r="AH543" s="1337"/>
      <c r="AI543" s="1335" t="s">
        <v>2091</v>
      </c>
      <c r="AJ543" s="1336"/>
      <c r="AK543" s="1336"/>
      <c r="AL543" s="1337"/>
      <c r="AM543" s="1335" t="s">
        <v>776</v>
      </c>
      <c r="AN543" s="1336"/>
      <c r="AO543" s="1336"/>
      <c r="AP543" s="1336"/>
      <c r="AQ543" s="1336"/>
      <c r="AR543" s="1336"/>
      <c r="AS543" s="133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8"/>
      <c r="C544" s="1339"/>
      <c r="D544" s="1339"/>
      <c r="E544" s="1339"/>
      <c r="F544" s="1339"/>
      <c r="G544" s="1339"/>
      <c r="H544" s="1339"/>
      <c r="I544" s="1339"/>
      <c r="J544" s="1339"/>
      <c r="K544" s="1339"/>
      <c r="L544" s="1339"/>
      <c r="M544" s="1424"/>
      <c r="N544" s="1424"/>
      <c r="O544" s="1424"/>
      <c r="P544" s="1424"/>
      <c r="Q544" s="1338"/>
      <c r="R544" s="1339"/>
      <c r="S544" s="1340"/>
      <c r="T544" s="1338"/>
      <c r="U544" s="1339"/>
      <c r="V544" s="1340"/>
      <c r="W544" s="1338"/>
      <c r="X544" s="1339"/>
      <c r="Y544" s="1340"/>
      <c r="Z544" s="1338"/>
      <c r="AA544" s="1339"/>
      <c r="AB544" s="1339"/>
      <c r="AC544" s="1339"/>
      <c r="AD544" s="1340"/>
      <c r="AE544" s="1338"/>
      <c r="AF544" s="1339"/>
      <c r="AG544" s="1339"/>
      <c r="AH544" s="1340"/>
      <c r="AI544" s="1338"/>
      <c r="AJ544" s="1339"/>
      <c r="AK544" s="1339"/>
      <c r="AL544" s="1340"/>
      <c r="AM544" s="1338"/>
      <c r="AN544" s="1339"/>
      <c r="AO544" s="1339"/>
      <c r="AP544" s="1339"/>
      <c r="AQ544" s="1339"/>
      <c r="AR544" s="1339"/>
      <c r="AS544" s="134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0"/>
      <c r="C545" s="1371"/>
      <c r="D545" s="1371"/>
      <c r="E545" s="1371"/>
      <c r="F545" s="1371"/>
      <c r="G545" s="1371"/>
      <c r="H545" s="1371"/>
      <c r="I545" s="1371"/>
      <c r="J545" s="1371"/>
      <c r="K545" s="1371"/>
      <c r="L545" s="1371"/>
      <c r="M545" s="1424"/>
      <c r="N545" s="1424"/>
      <c r="O545" s="1424"/>
      <c r="P545" s="1424"/>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9" t="s">
        <v>2434</v>
      </c>
      <c r="D546" s="1419"/>
      <c r="E546" s="1419"/>
      <c r="F546" s="1419"/>
      <c r="G546" s="1419"/>
      <c r="H546" s="1419"/>
      <c r="I546" s="1419"/>
      <c r="J546" s="1419"/>
      <c r="K546" s="1419"/>
      <c r="L546" s="1419"/>
      <c r="M546" s="1420" t="s">
        <v>2313</v>
      </c>
      <c r="N546" s="1420"/>
      <c r="O546" s="1420"/>
      <c r="P546" s="1420"/>
      <c r="Q546" s="1271">
        <v>18</v>
      </c>
      <c r="R546" s="1271"/>
      <c r="S546" s="1272"/>
      <c r="T546" s="1270"/>
      <c r="U546" s="1271"/>
      <c r="V546" s="1272"/>
      <c r="W546" s="1273">
        <v>0.06</v>
      </c>
      <c r="X546" s="1274"/>
      <c r="Y546" s="1275"/>
      <c r="Z546" s="1276" t="s">
        <v>2436</v>
      </c>
      <c r="AA546" s="1276"/>
      <c r="AB546" s="1276"/>
      <c r="AC546" s="1276"/>
      <c r="AD546" s="1276"/>
      <c r="AE546" s="1277">
        <v>1</v>
      </c>
      <c r="AF546" s="1278"/>
      <c r="AG546" s="1278"/>
      <c r="AH546" s="1279"/>
      <c r="AI546" s="1280"/>
      <c r="AJ546" s="1281"/>
      <c r="AK546" s="1281"/>
      <c r="AL546" s="1282"/>
      <c r="AM546" s="1166">
        <v>23100000</v>
      </c>
      <c r="AN546" s="1167"/>
      <c r="AO546" s="1167"/>
      <c r="AP546" s="1167"/>
      <c r="AQ546" s="1167"/>
      <c r="AR546" s="1167"/>
      <c r="AS546" s="1168"/>
      <c r="AT546" s="963"/>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9" t="s">
        <v>2519</v>
      </c>
      <c r="D547" s="1419"/>
      <c r="E547" s="1419"/>
      <c r="F547" s="1419"/>
      <c r="G547" s="1419"/>
      <c r="H547" s="1419"/>
      <c r="I547" s="1419"/>
      <c r="J547" s="1419"/>
      <c r="K547" s="1419"/>
      <c r="L547" s="1419"/>
      <c r="M547" s="1420" t="s">
        <v>2312</v>
      </c>
      <c r="N547" s="1420"/>
      <c r="O547" s="1420"/>
      <c r="P547" s="1420"/>
      <c r="Q547" s="1270">
        <v>18</v>
      </c>
      <c r="R547" s="1271"/>
      <c r="S547" s="1272"/>
      <c r="T547" s="1270"/>
      <c r="U547" s="1271"/>
      <c r="V547" s="1272"/>
      <c r="W547" s="1273">
        <v>0.06</v>
      </c>
      <c r="X547" s="1274"/>
      <c r="Y547" s="1275"/>
      <c r="Z547" s="1276" t="s">
        <v>2436</v>
      </c>
      <c r="AA547" s="1276"/>
      <c r="AB547" s="1276"/>
      <c r="AC547" s="1276"/>
      <c r="AD547" s="1276"/>
      <c r="AE547" s="1277">
        <v>2</v>
      </c>
      <c r="AF547" s="1278"/>
      <c r="AG547" s="1278"/>
      <c r="AH547" s="1279"/>
      <c r="AI547" s="1280"/>
      <c r="AJ547" s="1281"/>
      <c r="AK547" s="1281"/>
      <c r="AL547" s="1282"/>
      <c r="AM547" s="1166">
        <v>7070701</v>
      </c>
      <c r="AN547" s="1167"/>
      <c r="AO547" s="1167"/>
      <c r="AP547" s="1167"/>
      <c r="AQ547" s="1167"/>
      <c r="AR547" s="1167"/>
      <c r="AS547" s="1168"/>
      <c r="AT547" s="964" t="str">
        <f t="shared" ref="AT547:AT557" si="2">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9" t="s">
        <v>2437</v>
      </c>
      <c r="D548" s="1419"/>
      <c r="E548" s="1419"/>
      <c r="F548" s="1419"/>
      <c r="G548" s="1419"/>
      <c r="H548" s="1419"/>
      <c r="I548" s="1419"/>
      <c r="J548" s="1419"/>
      <c r="K548" s="1419"/>
      <c r="L548" s="1419"/>
      <c r="M548" s="1420" t="s">
        <v>2305</v>
      </c>
      <c r="N548" s="1420"/>
      <c r="O548" s="1420"/>
      <c r="P548" s="1420"/>
      <c r="Q548" s="1270"/>
      <c r="R548" s="1271"/>
      <c r="S548" s="1272"/>
      <c r="T548" s="1270"/>
      <c r="U548" s="1271"/>
      <c r="V548" s="1272"/>
      <c r="W548" s="1273"/>
      <c r="X548" s="1274"/>
      <c r="Y548" s="1275"/>
      <c r="Z548" s="1276" t="s">
        <v>2076</v>
      </c>
      <c r="AA548" s="1276"/>
      <c r="AB548" s="1276"/>
      <c r="AC548" s="1276"/>
      <c r="AD548" s="1276"/>
      <c r="AE548" s="1277"/>
      <c r="AF548" s="1278"/>
      <c r="AG548" s="1278"/>
      <c r="AH548" s="1279"/>
      <c r="AI548" s="1280"/>
      <c r="AJ548" s="1281"/>
      <c r="AK548" s="1281"/>
      <c r="AL548" s="1282"/>
      <c r="AM548" s="1166">
        <v>11636250</v>
      </c>
      <c r="AN548" s="1167"/>
      <c r="AO548" s="1167"/>
      <c r="AP548" s="1167"/>
      <c r="AQ548" s="1167"/>
      <c r="AR548" s="1167"/>
      <c r="AS548" s="1168"/>
      <c r="AT548" s="964" t="str">
        <f t="shared" si="2"/>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19" t="s">
        <v>2438</v>
      </c>
      <c r="D549" s="1419"/>
      <c r="E549" s="1419"/>
      <c r="F549" s="1419"/>
      <c r="G549" s="1419"/>
      <c r="H549" s="1419"/>
      <c r="I549" s="1419"/>
      <c r="J549" s="1419"/>
      <c r="K549" s="1419"/>
      <c r="L549" s="1419"/>
      <c r="M549" s="1420" t="s">
        <v>2305</v>
      </c>
      <c r="N549" s="1420"/>
      <c r="O549" s="1420"/>
      <c r="P549" s="1420"/>
      <c r="Q549" s="1270"/>
      <c r="R549" s="1271"/>
      <c r="S549" s="1272"/>
      <c r="T549" s="1270"/>
      <c r="U549" s="1271"/>
      <c r="V549" s="1272"/>
      <c r="W549" s="1273"/>
      <c r="X549" s="1274"/>
      <c r="Y549" s="1275"/>
      <c r="Z549" s="1276" t="s">
        <v>2076</v>
      </c>
      <c r="AA549" s="1276"/>
      <c r="AB549" s="1276"/>
      <c r="AC549" s="1276"/>
      <c r="AD549" s="1276"/>
      <c r="AE549" s="1277"/>
      <c r="AF549" s="1278"/>
      <c r="AG549" s="1278"/>
      <c r="AH549" s="1279"/>
      <c r="AI549" s="1280"/>
      <c r="AJ549" s="1281"/>
      <c r="AK549" s="1281"/>
      <c r="AL549" s="1282"/>
      <c r="AM549" s="1166">
        <v>1207200</v>
      </c>
      <c r="AN549" s="1167"/>
      <c r="AO549" s="1167"/>
      <c r="AP549" s="1167"/>
      <c r="AQ549" s="1167"/>
      <c r="AR549" s="1167"/>
      <c r="AS549" s="1168"/>
      <c r="AT549" s="964" t="str">
        <f t="shared" si="2"/>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9" t="s">
        <v>2435</v>
      </c>
      <c r="D550" s="1419"/>
      <c r="E550" s="1419"/>
      <c r="F550" s="1419"/>
      <c r="G550" s="1419"/>
      <c r="H550" s="1419"/>
      <c r="I550" s="1419"/>
      <c r="J550" s="1419"/>
      <c r="K550" s="1419"/>
      <c r="L550" s="1419"/>
      <c r="M550" s="1420" t="s">
        <v>2316</v>
      </c>
      <c r="N550" s="1420"/>
      <c r="O550" s="1420"/>
      <c r="P550" s="1420"/>
      <c r="Q550" s="1270"/>
      <c r="R550" s="1271"/>
      <c r="S550" s="1272"/>
      <c r="T550" s="1270"/>
      <c r="U550" s="1271"/>
      <c r="V550" s="1272"/>
      <c r="W550" s="1273"/>
      <c r="X550" s="1274"/>
      <c r="Y550" s="1275"/>
      <c r="Z550" s="1276" t="s">
        <v>2076</v>
      </c>
      <c r="AA550" s="1276"/>
      <c r="AB550" s="1276"/>
      <c r="AC550" s="1276"/>
      <c r="AD550" s="1276"/>
      <c r="AE550" s="1277"/>
      <c r="AF550" s="1278"/>
      <c r="AG550" s="1278"/>
      <c r="AH550" s="1279"/>
      <c r="AI550" s="1280"/>
      <c r="AJ550" s="1281"/>
      <c r="AK550" s="1281"/>
      <c r="AL550" s="1282"/>
      <c r="AM550" s="1166">
        <v>861887</v>
      </c>
      <c r="AN550" s="1167"/>
      <c r="AO550" s="1167"/>
      <c r="AP550" s="1167"/>
      <c r="AQ550" s="1167"/>
      <c r="AR550" s="1167"/>
      <c r="AS550" s="1168"/>
      <c r="AT550" s="964" t="str">
        <f t="shared" si="2"/>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19" t="s">
        <v>2517</v>
      </c>
      <c r="D551" s="1419"/>
      <c r="E551" s="1419"/>
      <c r="F551" s="1419"/>
      <c r="G551" s="1419"/>
      <c r="H551" s="1419"/>
      <c r="I551" s="1419"/>
      <c r="J551" s="1419"/>
      <c r="K551" s="1419"/>
      <c r="L551" s="1419"/>
      <c r="M551" s="1420" t="s">
        <v>2300</v>
      </c>
      <c r="N551" s="1420"/>
      <c r="O551" s="1420"/>
      <c r="P551" s="1420"/>
      <c r="Q551" s="1270"/>
      <c r="R551" s="1271"/>
      <c r="S551" s="1272"/>
      <c r="T551" s="1270"/>
      <c r="U551" s="1271"/>
      <c r="V551" s="1272"/>
      <c r="W551" s="1273"/>
      <c r="X551" s="1274"/>
      <c r="Y551" s="1275"/>
      <c r="Z551" s="1276" t="s">
        <v>2076</v>
      </c>
      <c r="AA551" s="1276"/>
      <c r="AB551" s="1276"/>
      <c r="AC551" s="1276"/>
      <c r="AD551" s="1276"/>
      <c r="AE551" s="1277"/>
      <c r="AF551" s="1278"/>
      <c r="AG551" s="1278"/>
      <c r="AH551" s="1279"/>
      <c r="AI551" s="1280"/>
      <c r="AJ551" s="1281"/>
      <c r="AK551" s="1281"/>
      <c r="AL551" s="1282"/>
      <c r="AM551" s="1166">
        <f>AO632-SUM(AM546:AS550)</f>
        <v>861702</v>
      </c>
      <c r="AN551" s="1167"/>
      <c r="AO551" s="1167"/>
      <c r="AP551" s="1167"/>
      <c r="AQ551" s="1167"/>
      <c r="AR551" s="1167"/>
      <c r="AS551" s="1168"/>
      <c r="AT551" s="964"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9"/>
      <c r="D552" s="1419"/>
      <c r="E552" s="1419"/>
      <c r="F552" s="1419"/>
      <c r="G552" s="1419"/>
      <c r="H552" s="1419"/>
      <c r="I552" s="1419"/>
      <c r="J552" s="1419"/>
      <c r="K552" s="1419"/>
      <c r="L552" s="1419"/>
      <c r="M552" s="1420" t="s">
        <v>2076</v>
      </c>
      <c r="N552" s="1420"/>
      <c r="O552" s="1420"/>
      <c r="P552" s="1420"/>
      <c r="Q552" s="1270"/>
      <c r="R552" s="1271"/>
      <c r="S552" s="1272"/>
      <c r="T552" s="1270"/>
      <c r="U552" s="1271"/>
      <c r="V552" s="1272"/>
      <c r="W552" s="1273"/>
      <c r="X552" s="1274"/>
      <c r="Y552" s="1275"/>
      <c r="Z552" s="1276" t="s">
        <v>2076</v>
      </c>
      <c r="AA552" s="1276"/>
      <c r="AB552" s="1276"/>
      <c r="AC552" s="1276"/>
      <c r="AD552" s="1276"/>
      <c r="AE552" s="1277"/>
      <c r="AF552" s="1278"/>
      <c r="AG552" s="1278"/>
      <c r="AH552" s="1279"/>
      <c r="AI552" s="1280"/>
      <c r="AJ552" s="1281"/>
      <c r="AK552" s="1281"/>
      <c r="AL552" s="1282"/>
      <c r="AM552" s="1166"/>
      <c r="AN552" s="1167"/>
      <c r="AO552" s="1167"/>
      <c r="AP552" s="1167"/>
      <c r="AQ552" s="1167"/>
      <c r="AR552" s="1167"/>
      <c r="AS552" s="1168"/>
      <c r="AT552" s="964" t="str">
        <f t="shared" si="2"/>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9"/>
      <c r="D553" s="1419"/>
      <c r="E553" s="1419"/>
      <c r="F553" s="1419"/>
      <c r="G553" s="1419"/>
      <c r="H553" s="1419"/>
      <c r="I553" s="1419"/>
      <c r="J553" s="1419"/>
      <c r="K553" s="1419"/>
      <c r="L553" s="1419"/>
      <c r="M553" s="1420" t="s">
        <v>2076</v>
      </c>
      <c r="N553" s="1420"/>
      <c r="O553" s="1420"/>
      <c r="P553" s="1420"/>
      <c r="Q553" s="1270"/>
      <c r="R553" s="1271"/>
      <c r="S553" s="1272"/>
      <c r="T553" s="1270"/>
      <c r="U553" s="1271"/>
      <c r="V553" s="1272"/>
      <c r="W553" s="1273"/>
      <c r="X553" s="1274"/>
      <c r="Y553" s="1275"/>
      <c r="Z553" s="1276" t="s">
        <v>2076</v>
      </c>
      <c r="AA553" s="1276"/>
      <c r="AB553" s="1276"/>
      <c r="AC553" s="1276"/>
      <c r="AD553" s="1276"/>
      <c r="AE553" s="1277"/>
      <c r="AF553" s="1278"/>
      <c r="AG553" s="1278"/>
      <c r="AH553" s="1279"/>
      <c r="AI553" s="1280"/>
      <c r="AJ553" s="1281"/>
      <c r="AK553" s="1281"/>
      <c r="AL553" s="1282"/>
      <c r="AM553" s="1166"/>
      <c r="AN553" s="1167"/>
      <c r="AO553" s="1167"/>
      <c r="AP553" s="1167"/>
      <c r="AQ553" s="1167"/>
      <c r="AR553" s="1167"/>
      <c r="AS553" s="1168"/>
      <c r="AT553" s="964" t="str">
        <f t="shared" si="2"/>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9"/>
      <c r="D554" s="1419"/>
      <c r="E554" s="1419"/>
      <c r="F554" s="1419"/>
      <c r="G554" s="1419"/>
      <c r="H554" s="1419"/>
      <c r="I554" s="1419"/>
      <c r="J554" s="1419"/>
      <c r="K554" s="1419"/>
      <c r="L554" s="1419"/>
      <c r="M554" s="1420" t="s">
        <v>2076</v>
      </c>
      <c r="N554" s="1420"/>
      <c r="O554" s="1420"/>
      <c r="P554" s="1420"/>
      <c r="Q554" s="1270"/>
      <c r="R554" s="1271"/>
      <c r="S554" s="1272"/>
      <c r="T554" s="1270"/>
      <c r="U554" s="1271"/>
      <c r="V554" s="1272"/>
      <c r="W554" s="1273"/>
      <c r="X554" s="1274"/>
      <c r="Y554" s="1275"/>
      <c r="Z554" s="1276" t="s">
        <v>2076</v>
      </c>
      <c r="AA554" s="1276"/>
      <c r="AB554" s="1276"/>
      <c r="AC554" s="1276"/>
      <c r="AD554" s="1276"/>
      <c r="AE554" s="1277"/>
      <c r="AF554" s="1278"/>
      <c r="AG554" s="1278"/>
      <c r="AH554" s="1279"/>
      <c r="AI554" s="1280"/>
      <c r="AJ554" s="1281"/>
      <c r="AK554" s="1281"/>
      <c r="AL554" s="1282"/>
      <c r="AM554" s="1166"/>
      <c r="AN554" s="1167"/>
      <c r="AO554" s="1167"/>
      <c r="AP554" s="1167"/>
      <c r="AQ554" s="1167"/>
      <c r="AR554" s="1167"/>
      <c r="AS554" s="1168"/>
      <c r="AT554" s="964" t="str">
        <f t="shared" si="2"/>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9"/>
      <c r="D555" s="1419"/>
      <c r="E555" s="1419"/>
      <c r="F555" s="1419"/>
      <c r="G555" s="1419"/>
      <c r="H555" s="1419"/>
      <c r="I555" s="1419"/>
      <c r="J555" s="1419"/>
      <c r="K555" s="1419"/>
      <c r="L555" s="1419"/>
      <c r="M555" s="1420" t="s">
        <v>2076</v>
      </c>
      <c r="N555" s="1420"/>
      <c r="O555" s="1420"/>
      <c r="P555" s="1420"/>
      <c r="Q555" s="1270"/>
      <c r="R555" s="1271"/>
      <c r="S555" s="1272"/>
      <c r="T555" s="1270"/>
      <c r="U555" s="1271"/>
      <c r="V555" s="1272"/>
      <c r="W555" s="1273"/>
      <c r="X555" s="1274"/>
      <c r="Y555" s="1275"/>
      <c r="Z555" s="1276" t="s">
        <v>2076</v>
      </c>
      <c r="AA555" s="1276"/>
      <c r="AB555" s="1276"/>
      <c r="AC555" s="1276"/>
      <c r="AD555" s="1276"/>
      <c r="AE555" s="1277"/>
      <c r="AF555" s="1278"/>
      <c r="AG555" s="1278"/>
      <c r="AH555" s="1279"/>
      <c r="AI555" s="1280"/>
      <c r="AJ555" s="1281"/>
      <c r="AK555" s="1281"/>
      <c r="AL555" s="1282"/>
      <c r="AM555" s="1166"/>
      <c r="AN555" s="1167"/>
      <c r="AO555" s="1167"/>
      <c r="AP555" s="1167"/>
      <c r="AQ555" s="1167"/>
      <c r="AR555" s="1167"/>
      <c r="AS555" s="1168"/>
      <c r="AT555" s="964" t="str">
        <f t="shared" si="2"/>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9"/>
      <c r="D556" s="1419"/>
      <c r="E556" s="1419"/>
      <c r="F556" s="1419"/>
      <c r="G556" s="1419"/>
      <c r="H556" s="1419"/>
      <c r="I556" s="1419"/>
      <c r="J556" s="1419"/>
      <c r="K556" s="1419"/>
      <c r="L556" s="1419"/>
      <c r="M556" s="1420" t="s">
        <v>2076</v>
      </c>
      <c r="N556" s="1420"/>
      <c r="O556" s="1420"/>
      <c r="P556" s="1420"/>
      <c r="Q556" s="1270"/>
      <c r="R556" s="1271"/>
      <c r="S556" s="1272"/>
      <c r="T556" s="1270"/>
      <c r="U556" s="1271"/>
      <c r="V556" s="1272"/>
      <c r="W556" s="1273"/>
      <c r="X556" s="1274"/>
      <c r="Y556" s="1275"/>
      <c r="Z556" s="1276" t="s">
        <v>2076</v>
      </c>
      <c r="AA556" s="1276"/>
      <c r="AB556" s="1276"/>
      <c r="AC556" s="1276"/>
      <c r="AD556" s="1276"/>
      <c r="AE556" s="1277"/>
      <c r="AF556" s="1278"/>
      <c r="AG556" s="1278"/>
      <c r="AH556" s="1279"/>
      <c r="AI556" s="1280"/>
      <c r="AJ556" s="1281"/>
      <c r="AK556" s="1281"/>
      <c r="AL556" s="1282"/>
      <c r="AM556" s="1166"/>
      <c r="AN556" s="1167"/>
      <c r="AO556" s="1167"/>
      <c r="AP556" s="1167"/>
      <c r="AQ556" s="1167"/>
      <c r="AR556" s="1167"/>
      <c r="AS556" s="1168"/>
      <c r="AT556" s="964" t="str">
        <f t="shared" si="2"/>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9"/>
      <c r="D557" s="1419"/>
      <c r="E557" s="1419"/>
      <c r="F557" s="1419"/>
      <c r="G557" s="1419"/>
      <c r="H557" s="1419"/>
      <c r="I557" s="1419"/>
      <c r="J557" s="1419"/>
      <c r="K557" s="1419"/>
      <c r="L557" s="1419"/>
      <c r="M557" s="1420" t="s">
        <v>2076</v>
      </c>
      <c r="N557" s="1420"/>
      <c r="O557" s="1420"/>
      <c r="P557" s="1420"/>
      <c r="Q557" s="1270"/>
      <c r="R557" s="1271"/>
      <c r="S557" s="1272"/>
      <c r="T557" s="1270"/>
      <c r="U557" s="1271"/>
      <c r="V557" s="1272"/>
      <c r="W557" s="1273"/>
      <c r="X557" s="1274"/>
      <c r="Y557" s="1275"/>
      <c r="Z557" s="1276" t="s">
        <v>2076</v>
      </c>
      <c r="AA557" s="1276"/>
      <c r="AB557" s="1276"/>
      <c r="AC557" s="1276"/>
      <c r="AD557" s="1276"/>
      <c r="AE557" s="1277"/>
      <c r="AF557" s="1278"/>
      <c r="AG557" s="1278"/>
      <c r="AH557" s="1279"/>
      <c r="AI557" s="1280"/>
      <c r="AJ557" s="1281"/>
      <c r="AK557" s="1281"/>
      <c r="AL557" s="1282"/>
      <c r="AM557" s="1166"/>
      <c r="AN557" s="1167"/>
      <c r="AO557" s="1167"/>
      <c r="AP557" s="1167"/>
      <c r="AQ557" s="1167"/>
      <c r="AR557" s="1167"/>
      <c r="AS557" s="1168"/>
      <c r="AT557" s="964" t="str">
        <f t="shared" si="2"/>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2"/>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44737740</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89" t="str">
        <f>C546</f>
        <v>East West Bank</v>
      </c>
      <c r="H560" s="1189"/>
      <c r="I560" s="1189"/>
      <c r="J560" s="1189"/>
      <c r="K560" s="1189"/>
      <c r="L560" s="1189"/>
      <c r="M560" s="1189"/>
      <c r="N560" s="1189"/>
      <c r="O560" s="1189"/>
      <c r="P560" s="1189"/>
      <c r="Q560" s="1189"/>
      <c r="R560" s="1189"/>
      <c r="S560" s="12"/>
      <c r="T560" s="61" t="s">
        <v>944</v>
      </c>
      <c r="U560" t="s">
        <v>90</v>
      </c>
      <c r="Z560" s="1189" t="str">
        <f>C547</f>
        <v>DHI Guarantor, LLC</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3" t="s">
        <v>2441</v>
      </c>
      <c r="H561" s="1233"/>
      <c r="I561" s="1233"/>
      <c r="J561" s="1233"/>
      <c r="K561" s="1233"/>
      <c r="L561" s="1233"/>
      <c r="M561" s="1233"/>
      <c r="N561" s="1233"/>
      <c r="O561" s="1233"/>
      <c r="P561" s="1233"/>
      <c r="Q561" s="1233"/>
      <c r="R561" s="1233"/>
      <c r="S561" s="12"/>
      <c r="T561" s="4"/>
      <c r="U561" t="s">
        <v>397</v>
      </c>
      <c r="Z561" s="1233" t="s">
        <v>2371</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3" t="s">
        <v>118</v>
      </c>
      <c r="H562" s="1233"/>
      <c r="I562" s="1233"/>
      <c r="J562" s="1233"/>
      <c r="K562" s="1233"/>
      <c r="L562" s="1233"/>
      <c r="M562" s="1233"/>
      <c r="N562" s="1233"/>
      <c r="O562" s="1233"/>
      <c r="P562" s="1233"/>
      <c r="Q562" s="1233"/>
      <c r="R562" s="1233"/>
      <c r="T562" s="4"/>
      <c r="U562" t="s">
        <v>459</v>
      </c>
      <c r="Z562" s="1235" t="s">
        <v>2362</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3" t="s">
        <v>2442</v>
      </c>
      <c r="H563" s="1233"/>
      <c r="I563" s="1233"/>
      <c r="J563" s="1233"/>
      <c r="K563" s="1233"/>
      <c r="L563" s="1233"/>
      <c r="M563" s="1233"/>
      <c r="N563" s="1233"/>
      <c r="O563" s="1233"/>
      <c r="P563" s="1233"/>
      <c r="Q563" s="1233"/>
      <c r="R563" s="1233"/>
      <c r="S563" s="12"/>
      <c r="T563" s="4"/>
      <c r="U563" t="s">
        <v>873</v>
      </c>
      <c r="Z563" s="1235" t="s">
        <v>2364</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380" t="s">
        <v>2443</v>
      </c>
      <c r="H564" s="1234"/>
      <c r="I564" s="1234"/>
      <c r="J564" s="1234"/>
      <c r="K564" s="1234"/>
      <c r="L564" s="1234"/>
      <c r="O564" s="42" t="s">
        <v>858</v>
      </c>
      <c r="P564" s="1231"/>
      <c r="Q564" s="1231"/>
      <c r="R564" s="1231"/>
      <c r="S564" s="14"/>
      <c r="T564" s="4"/>
      <c r="U564" t="s">
        <v>685</v>
      </c>
      <c r="Z564" s="1380" t="s">
        <v>2365</v>
      </c>
      <c r="AA564" s="1234"/>
      <c r="AB564" s="1234"/>
      <c r="AC564" s="1234"/>
      <c r="AD564" s="1234"/>
      <c r="AE564" s="1234"/>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3" t="s">
        <v>2444</v>
      </c>
      <c r="I565" s="1233"/>
      <c r="J565" s="1233"/>
      <c r="K565" s="1233"/>
      <c r="L565" s="1233"/>
      <c r="M565" s="1233"/>
      <c r="N565" s="1233"/>
      <c r="O565" s="1233"/>
      <c r="P565" s="1233"/>
      <c r="Q565" s="1233"/>
      <c r="R565" s="1233"/>
      <c r="S565" s="12"/>
      <c r="T565" s="4"/>
      <c r="U565" t="s">
        <v>874</v>
      </c>
      <c r="AA565" s="1233" t="s">
        <v>2439</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2" t="s">
        <v>116</v>
      </c>
      <c r="O566" s="1232"/>
      <c r="T566" s="4"/>
      <c r="U566" t="s">
        <v>876</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89" t="str">
        <f>C548</f>
        <v>R4 Capital, LLC - Federal TC</v>
      </c>
      <c r="H568" s="1189"/>
      <c r="I568" s="1189"/>
      <c r="J568" s="1189"/>
      <c r="K568" s="1189"/>
      <c r="L568" s="1189"/>
      <c r="M568" s="1189"/>
      <c r="N568" s="1189"/>
      <c r="O568" s="1189"/>
      <c r="P568" s="1189"/>
      <c r="Q568" s="1189"/>
      <c r="R568" s="1189"/>
      <c r="T568" s="61" t="s">
        <v>460</v>
      </c>
      <c r="U568" t="s">
        <v>90</v>
      </c>
      <c r="Z568" s="1189" t="str">
        <f>C549</f>
        <v>R4 Capital, LLC - State TC</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3" t="s">
        <v>2411</v>
      </c>
      <c r="H569" s="1233"/>
      <c r="I569" s="1233"/>
      <c r="J569" s="1233"/>
      <c r="K569" s="1233"/>
      <c r="L569" s="1233"/>
      <c r="M569" s="1233"/>
      <c r="N569" s="1233"/>
      <c r="O569" s="1233"/>
      <c r="P569" s="1233"/>
      <c r="Q569" s="1233"/>
      <c r="R569" s="1233"/>
      <c r="T569" s="4"/>
      <c r="U569" t="s">
        <v>397</v>
      </c>
      <c r="Z569" s="1233" t="str">
        <f>G569</f>
        <v>895 Dove Street, Suite 475</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5" t="s">
        <v>2445</v>
      </c>
      <c r="H570" s="1235"/>
      <c r="I570" s="1235"/>
      <c r="J570" s="1235"/>
      <c r="K570" s="1235"/>
      <c r="L570" s="1235"/>
      <c r="M570" s="1235"/>
      <c r="N570" s="1235"/>
      <c r="O570" s="1235"/>
      <c r="P570" s="1235"/>
      <c r="Q570" s="1235"/>
      <c r="R570" s="1235"/>
      <c r="T570" s="4"/>
      <c r="U570" t="s">
        <v>459</v>
      </c>
      <c r="Z570" s="1235" t="str">
        <f t="shared" ref="Z570" si="3">G570</f>
        <v>Newport Beach</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5" t="s">
        <v>2413</v>
      </c>
      <c r="H571" s="1235"/>
      <c r="I571" s="1235"/>
      <c r="J571" s="1235"/>
      <c r="K571" s="1235"/>
      <c r="L571" s="1235"/>
      <c r="M571" s="1235"/>
      <c r="N571" s="1235"/>
      <c r="O571" s="1235"/>
      <c r="P571" s="1235"/>
      <c r="Q571" s="1235"/>
      <c r="R571" s="1235"/>
      <c r="T571" s="4"/>
      <c r="U571" t="s">
        <v>873</v>
      </c>
      <c r="Z571" s="1235" t="str">
        <f t="shared" ref="Z571" si="4">G571</f>
        <v>Cory Bannister</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380" t="s">
        <v>2414</v>
      </c>
      <c r="H572" s="1234"/>
      <c r="I572" s="1234"/>
      <c r="J572" s="1234"/>
      <c r="K572" s="1234"/>
      <c r="L572" s="1234"/>
      <c r="O572" s="42" t="s">
        <v>858</v>
      </c>
      <c r="P572" s="1231"/>
      <c r="Q572" s="1231"/>
      <c r="R572" s="1231"/>
      <c r="T572" s="4"/>
      <c r="U572" t="s">
        <v>685</v>
      </c>
      <c r="Z572" s="1380" t="str">
        <f>G572</f>
        <v>(949) 438-1056</v>
      </c>
      <c r="AA572" s="1234"/>
      <c r="AB572" s="1234"/>
      <c r="AC572" s="1234"/>
      <c r="AD572" s="1234"/>
      <c r="AE572" s="1234"/>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3" t="s">
        <v>2440</v>
      </c>
      <c r="I573" s="1233"/>
      <c r="J573" s="1233"/>
      <c r="K573" s="1233"/>
      <c r="L573" s="1233"/>
      <c r="M573" s="1233"/>
      <c r="N573" s="1233"/>
      <c r="O573" s="1233"/>
      <c r="P573" s="1233"/>
      <c r="Q573" s="1233"/>
      <c r="R573" s="1233"/>
      <c r="T573" s="4"/>
      <c r="U573" t="s">
        <v>874</v>
      </c>
      <c r="AA573" s="1233" t="str">
        <f>H573</f>
        <v>Tax Credit Equity</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7" t="s">
        <v>116</v>
      </c>
      <c r="O574" s="1147"/>
      <c r="T574" s="4"/>
      <c r="U574" t="s">
        <v>876</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t="str">
        <f>C550</f>
        <v>Cash Flow from Operations</v>
      </c>
      <c r="H576" s="1189"/>
      <c r="I576" s="1189"/>
      <c r="J576" s="1189"/>
      <c r="K576" s="1189"/>
      <c r="L576" s="1189"/>
      <c r="M576" s="1189"/>
      <c r="N576" s="1189"/>
      <c r="O576" s="1189"/>
      <c r="P576" s="1189"/>
      <c r="Q576" s="1189"/>
      <c r="R576" s="1189"/>
      <c r="T576" s="61" t="s">
        <v>463</v>
      </c>
      <c r="U576" t="s">
        <v>90</v>
      </c>
      <c r="Z576" s="1189" t="str">
        <f>C551</f>
        <v>Deferred Fees &amp; Costs</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t="str">
        <f>Z561</f>
        <v>7250 Redwood Blvd, Suite 214</v>
      </c>
      <c r="H577" s="1233"/>
      <c r="I577" s="1233"/>
      <c r="J577" s="1233"/>
      <c r="K577" s="1233"/>
      <c r="L577" s="1233"/>
      <c r="M577" s="1233"/>
      <c r="N577" s="1233"/>
      <c r="O577" s="1233"/>
      <c r="P577" s="1233"/>
      <c r="Q577" s="1233"/>
      <c r="R577" s="1233"/>
      <c r="T577" s="4"/>
      <c r="U577" t="s">
        <v>397</v>
      </c>
      <c r="Z577" s="1233" t="s">
        <v>2371</v>
      </c>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3" t="str">
        <f>Z562</f>
        <v>Novato</v>
      </c>
      <c r="H578" s="1233"/>
      <c r="I578" s="1233"/>
      <c r="J578" s="1233"/>
      <c r="K578" s="1233"/>
      <c r="L578" s="1233"/>
      <c r="M578" s="1233"/>
      <c r="N578" s="1233"/>
      <c r="O578" s="1233"/>
      <c r="P578" s="1233"/>
      <c r="Q578" s="1233"/>
      <c r="R578" s="1233"/>
      <c r="T578" s="4"/>
      <c r="U578" t="s">
        <v>459</v>
      </c>
      <c r="Z578" s="1235" t="s">
        <v>2362</v>
      </c>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3" t="str">
        <f>Z563</f>
        <v>Justin Solomon</v>
      </c>
      <c r="H579" s="1233"/>
      <c r="I579" s="1233"/>
      <c r="J579" s="1233"/>
      <c r="K579" s="1233"/>
      <c r="L579" s="1233"/>
      <c r="M579" s="1233"/>
      <c r="N579" s="1233"/>
      <c r="O579" s="1233"/>
      <c r="P579" s="1233"/>
      <c r="Q579" s="1233"/>
      <c r="R579" s="1233"/>
      <c r="T579" s="4"/>
      <c r="U579" t="s">
        <v>873</v>
      </c>
      <c r="Z579" s="1235" t="s">
        <v>2364</v>
      </c>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4" t="str">
        <f>Z564</f>
        <v>(415) 609-5352</v>
      </c>
      <c r="H580" s="1234"/>
      <c r="I580" s="1234"/>
      <c r="J580" s="1234"/>
      <c r="K580" s="1234"/>
      <c r="L580" s="1234"/>
      <c r="O580" s="42" t="s">
        <v>858</v>
      </c>
      <c r="P580" s="1231"/>
      <c r="Q580" s="1231"/>
      <c r="R580" s="1231"/>
      <c r="T580" s="4"/>
      <c r="U580" t="s">
        <v>685</v>
      </c>
      <c r="Z580" s="1234" t="str">
        <f>Z564</f>
        <v>(415) 609-5352</v>
      </c>
      <c r="AA580" s="1234"/>
      <c r="AB580" s="1234"/>
      <c r="AC580" s="1234"/>
      <c r="AD580" s="1234"/>
      <c r="AE580" s="1234"/>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3" t="s">
        <v>2435</v>
      </c>
      <c r="I581" s="1233"/>
      <c r="J581" s="1233"/>
      <c r="K581" s="1233"/>
      <c r="L581" s="1233"/>
      <c r="M581" s="1233"/>
      <c r="N581" s="1233"/>
      <c r="O581" s="1233"/>
      <c r="P581" s="1233"/>
      <c r="Q581" s="1233"/>
      <c r="R581" s="1233"/>
      <c r="T581" s="4"/>
      <c r="U581" t="s">
        <v>874</v>
      </c>
      <c r="AA581" s="1233" t="str">
        <f>Z576</f>
        <v>Deferred Fees &amp; Costs</v>
      </c>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7" t="s">
        <v>116</v>
      </c>
      <c r="O582" s="1147"/>
      <c r="T582" s="4"/>
      <c r="U582" t="s">
        <v>876</v>
      </c>
      <c r="AG582" s="1147" t="s">
        <v>116</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3"/>
      <c r="H587" s="1233"/>
      <c r="I587" s="1233"/>
      <c r="J587" s="1233"/>
      <c r="K587" s="1233"/>
      <c r="L587" s="1233"/>
      <c r="M587" s="1233"/>
      <c r="N587" s="1233"/>
      <c r="O587" s="1233"/>
      <c r="P587" s="1233"/>
      <c r="Q587" s="1233"/>
      <c r="R587" s="1233"/>
      <c r="S587"/>
      <c r="T587" s="4"/>
      <c r="U587" t="s">
        <v>873</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58" t="s">
        <v>448</v>
      </c>
      <c r="BO587" s="858"/>
      <c r="BP587" s="858"/>
      <c r="BQ587" s="177"/>
      <c r="BR587" s="859"/>
      <c r="BS587" s="858" t="s">
        <v>471</v>
      </c>
      <c r="BT587" s="858"/>
      <c r="BU587" s="858"/>
      <c r="BV587" s="177"/>
      <c r="BW587" s="859"/>
      <c r="BX587" s="859" t="s">
        <v>816</v>
      </c>
      <c r="BY587" s="858"/>
      <c r="BZ587" s="858"/>
      <c r="CA587" s="858"/>
      <c r="CB587" s="858"/>
      <c r="CC587" s="858" t="s">
        <v>817</v>
      </c>
      <c r="CD587" s="858"/>
      <c r="CE587" s="858"/>
      <c r="CF587" s="858"/>
      <c r="CG587" s="858"/>
      <c r="CH587" s="858" t="s">
        <v>828</v>
      </c>
      <c r="CI587" s="858"/>
      <c r="CJ587" s="858"/>
      <c r="CK587" s="858"/>
      <c r="CL587" s="858"/>
      <c r="CM587" s="858" t="s">
        <v>366</v>
      </c>
      <c r="CN587" s="858"/>
      <c r="CO587" s="858"/>
      <c r="CP587" s="177"/>
      <c r="CQ587" s="859"/>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4"/>
      <c r="H588" s="1234"/>
      <c r="I588" s="1234"/>
      <c r="J588" s="1234"/>
      <c r="K588" s="1234"/>
      <c r="L588" s="1234"/>
      <c r="M588"/>
      <c r="N588"/>
      <c r="O588" s="42" t="s">
        <v>858</v>
      </c>
      <c r="P588" s="1231"/>
      <c r="Q588" s="1231"/>
      <c r="R588" s="1231"/>
      <c r="S588"/>
      <c r="T588" s="4"/>
      <c r="U588" t="s">
        <v>685</v>
      </c>
      <c r="V588"/>
      <c r="W588"/>
      <c r="X588"/>
      <c r="Y588"/>
      <c r="Z588" s="1234"/>
      <c r="AA588" s="1234"/>
      <c r="AB588" s="1234"/>
      <c r="AC588" s="1234"/>
      <c r="AD588" s="1234"/>
      <c r="AE588" s="1234"/>
      <c r="AF588"/>
      <c r="AG588"/>
      <c r="AH588" s="42" t="s">
        <v>858</v>
      </c>
      <c r="AI588" s="1231"/>
      <c r="AJ588" s="1231"/>
      <c r="AK588" s="1231"/>
      <c r="AL588"/>
      <c r="AZ588" s="5" t="s">
        <v>470</v>
      </c>
      <c r="BA588" s="41"/>
      <c r="BB588" s="41"/>
      <c r="BC588" s="41"/>
      <c r="BD588" s="41"/>
      <c r="BE588" s="214" t="s">
        <v>373</v>
      </c>
      <c r="BF588" s="215"/>
      <c r="BG588" s="1255"/>
      <c r="BH588" s="1257"/>
      <c r="BI588" s="214" t="s">
        <v>374</v>
      </c>
      <c r="BJ588" s="215"/>
      <c r="BK588" s="1255"/>
      <c r="BL588" s="1257"/>
      <c r="BN588" s="1255">
        <f t="shared" ref="BN588:BN612" si="5">IF(B692="SRO/Studio",G692,0)</f>
        <v>1</v>
      </c>
      <c r="BO588" s="1256"/>
      <c r="BP588" s="1256"/>
      <c r="BQ588" s="1256"/>
      <c r="BR588" s="1264"/>
      <c r="BS588" s="1255">
        <f t="shared" ref="BS588:BS612" si="6">IF(B692="1 Bedroom",G692,0)</f>
        <v>0</v>
      </c>
      <c r="BT588" s="1256"/>
      <c r="BU588" s="1256"/>
      <c r="BV588" s="1256"/>
      <c r="BW588" s="1257"/>
      <c r="BX588" s="1255">
        <f t="shared" ref="BX588:BX612" si="7">IF(B692="2 Bedrooms",G692,0)</f>
        <v>0</v>
      </c>
      <c r="BY588" s="1256"/>
      <c r="BZ588" s="1256"/>
      <c r="CA588" s="1256"/>
      <c r="CB588" s="1257"/>
      <c r="CC588" s="1255">
        <f t="shared" ref="CC588:CC612" si="8">IF(B692="3 Bedrooms",G692,0)</f>
        <v>0</v>
      </c>
      <c r="CD588" s="1256"/>
      <c r="CE588" s="1256"/>
      <c r="CF588" s="1256"/>
      <c r="CG588" s="1257"/>
      <c r="CH588" s="1255">
        <f t="shared" ref="CH588:CH612" si="9">IF(B692="4 Bedrooms",G692,0)</f>
        <v>0</v>
      </c>
      <c r="CI588" s="1256"/>
      <c r="CJ588" s="1256"/>
      <c r="CK588" s="1256"/>
      <c r="CL588" s="1257"/>
      <c r="CM588" s="1265">
        <f t="shared" ref="CM588:CM612" si="10">IF(B692="5 Bedrooms",G692,0)</f>
        <v>0</v>
      </c>
      <c r="CN588" s="1266"/>
      <c r="CO588" s="1266"/>
      <c r="CP588" s="1266"/>
      <c r="CQ588" s="1264"/>
      <c r="CS588" s="858" t="s">
        <v>448</v>
      </c>
      <c r="CT588" s="858"/>
      <c r="CU588" s="858"/>
      <c r="CV588" s="858"/>
      <c r="CW588" s="858"/>
      <c r="CX588" s="858" t="s">
        <v>471</v>
      </c>
      <c r="CY588" s="858"/>
      <c r="CZ588" s="177"/>
      <c r="DA588" s="178"/>
      <c r="DB588" s="859"/>
      <c r="DC588" s="858" t="s">
        <v>816</v>
      </c>
      <c r="DD588" s="858"/>
      <c r="DE588" s="858"/>
      <c r="DF588" s="858"/>
      <c r="DG588" s="858"/>
      <c r="DH588" s="858" t="s">
        <v>817</v>
      </c>
      <c r="DI588" s="858"/>
      <c r="DJ588" s="858"/>
      <c r="DK588" s="858"/>
      <c r="DL588" s="858"/>
      <c r="DM588" s="858" t="s">
        <v>828</v>
      </c>
      <c r="DN588" s="858"/>
      <c r="DO588" s="858"/>
      <c r="DP588" s="858"/>
      <c r="DQ588" s="858"/>
      <c r="DR588" s="858" t="s">
        <v>366</v>
      </c>
      <c r="DS588" s="858"/>
      <c r="DT588" s="858"/>
      <c r="DU588" s="858"/>
      <c r="DV588" s="858"/>
    </row>
    <row r="589" spans="1:126" s="5" customFormat="1" ht="12.95" customHeight="1">
      <c r="A589" s="4"/>
      <c r="B589" t="s">
        <v>874</v>
      </c>
      <c r="C589"/>
      <c r="D589"/>
      <c r="E589"/>
      <c r="F589"/>
      <c r="G589"/>
      <c r="H589" s="1233"/>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1">
        <f>IF(AND(AH692&lt;=0.5,AH692&gt;=0.36),1,0)</f>
        <v>0</v>
      </c>
      <c r="BF589" s="1263"/>
      <c r="BG589" s="1255">
        <f t="shared" ref="BG589:BG613" si="11">IF(BE589=1,G692,0)</f>
        <v>0</v>
      </c>
      <c r="BH589" s="1257"/>
      <c r="BI589" s="1261">
        <f>IF(AND(AH692&lt;=0.35,AH692&gt;0),1,0)</f>
        <v>1</v>
      </c>
      <c r="BJ589" s="1263"/>
      <c r="BK589" s="1255">
        <f t="shared" ref="BK589:BK613" si="12">IF(BI589=1,G692,0)</f>
        <v>1</v>
      </c>
      <c r="BL589" s="1257"/>
      <c r="BN589" s="1255">
        <f t="shared" si="5"/>
        <v>1</v>
      </c>
      <c r="BO589" s="1256"/>
      <c r="BP589" s="1256"/>
      <c r="BQ589" s="1256"/>
      <c r="BR589" s="1264"/>
      <c r="BS589" s="1255">
        <f t="shared" si="6"/>
        <v>0</v>
      </c>
      <c r="BT589" s="1256"/>
      <c r="BU589" s="1256"/>
      <c r="BV589" s="1256"/>
      <c r="BW589" s="1257"/>
      <c r="BX589" s="1255">
        <f t="shared" si="7"/>
        <v>0</v>
      </c>
      <c r="BY589" s="1256"/>
      <c r="BZ589" s="1256"/>
      <c r="CA589" s="1256"/>
      <c r="CB589" s="1257"/>
      <c r="CC589" s="1255">
        <f t="shared" si="8"/>
        <v>0</v>
      </c>
      <c r="CD589" s="1256"/>
      <c r="CE589" s="1256"/>
      <c r="CF589" s="1256"/>
      <c r="CG589" s="1257"/>
      <c r="CH589" s="1255">
        <f t="shared" si="9"/>
        <v>0</v>
      </c>
      <c r="CI589" s="1256"/>
      <c r="CJ589" s="1256"/>
      <c r="CK589" s="1256"/>
      <c r="CL589" s="1257"/>
      <c r="CM589" s="1255">
        <f t="shared" si="10"/>
        <v>0</v>
      </c>
      <c r="CN589" s="1256"/>
      <c r="CO589" s="1256"/>
      <c r="CP589" s="1256"/>
      <c r="CQ589" s="1257"/>
      <c r="CS589" s="1267">
        <f>IF(AND(B692="SRO/Studio",AH692&lt;=0.3),G692,0)</f>
        <v>1</v>
      </c>
      <c r="CT589" s="1268"/>
      <c r="CU589" s="1268"/>
      <c r="CV589" s="1268"/>
      <c r="CW589" s="1269"/>
      <c r="CX589" s="1267">
        <f>IF(AND(B692="1 Bedroom",AH692&lt;=0.3),G692,0)</f>
        <v>0</v>
      </c>
      <c r="CY589" s="1268"/>
      <c r="CZ589" s="1268"/>
      <c r="DA589" s="1268"/>
      <c r="DB589" s="1269"/>
      <c r="DC589" s="1267">
        <f>IF(AND(B692="2 Bedrooms",AH692&lt;=0.3),G692,0)</f>
        <v>0</v>
      </c>
      <c r="DD589" s="1268"/>
      <c r="DE589" s="1268"/>
      <c r="DF589" s="1268"/>
      <c r="DG589" s="1269"/>
      <c r="DH589" s="1267">
        <f>IF(AND(B692="3 Bedrooms",AH692&lt;=0.3),G692,0)</f>
        <v>0</v>
      </c>
      <c r="DI589" s="1268"/>
      <c r="DJ589" s="1268"/>
      <c r="DK589" s="1268"/>
      <c r="DL589" s="1269"/>
      <c r="DM589" s="1267">
        <f>IF(AND(B692="4 Bedrooms",AH692&lt;=0.3),G692,0)</f>
        <v>0</v>
      </c>
      <c r="DN589" s="1268"/>
      <c r="DO589" s="1268"/>
      <c r="DP589" s="1268"/>
      <c r="DQ589" s="1269"/>
      <c r="DR589" s="1267">
        <f>IF(AND(B692="5 Bedrooms",AH692&lt;=0.3),G692,0)</f>
        <v>0</v>
      </c>
      <c r="DS589" s="1268"/>
      <c r="DT589" s="1268"/>
      <c r="DU589" s="1268"/>
      <c r="DV589" s="1269"/>
    </row>
    <row r="590" spans="1:126" s="5" customFormat="1" ht="12.95" customHeight="1">
      <c r="A590" s="4"/>
      <c r="B590" t="s">
        <v>876</v>
      </c>
      <c r="C590"/>
      <c r="D590"/>
      <c r="E590"/>
      <c r="F590"/>
      <c r="G590"/>
      <c r="H590"/>
      <c r="I590"/>
      <c r="J590"/>
      <c r="K590"/>
      <c r="L590"/>
      <c r="M590"/>
      <c r="N590" s="1147" t="s">
        <v>511</v>
      </c>
      <c r="O590" s="1147"/>
      <c r="P590"/>
      <c r="Q590"/>
      <c r="R590"/>
      <c r="S590"/>
      <c r="T590" s="4"/>
      <c r="U590" t="s">
        <v>876</v>
      </c>
      <c r="V590"/>
      <c r="W590"/>
      <c r="X590"/>
      <c r="Y590"/>
      <c r="Z590"/>
      <c r="AA590"/>
      <c r="AB590"/>
      <c r="AC590"/>
      <c r="AD590"/>
      <c r="AE590"/>
      <c r="AF590"/>
      <c r="AG590" s="1147" t="s">
        <v>511</v>
      </c>
      <c r="AH590" s="1147"/>
      <c r="AI590"/>
      <c r="AJ590"/>
      <c r="AK590"/>
      <c r="AL590"/>
      <c r="AZ590" s="5" t="s">
        <v>816</v>
      </c>
      <c r="BA590" s="41"/>
      <c r="BB590" s="41"/>
      <c r="BC590" s="41"/>
      <c r="BD590" s="41"/>
      <c r="BE590" s="1261">
        <f t="shared" ref="BE590:BE613" si="13">IF(AND(AH693&lt;=0.5,AH693&gt;=0.36),1,0)</f>
        <v>1</v>
      </c>
      <c r="BF590" s="1263"/>
      <c r="BG590" s="1255">
        <f t="shared" si="11"/>
        <v>1</v>
      </c>
      <c r="BH590" s="1257"/>
      <c r="BI590" s="1261">
        <f t="shared" ref="BI590:BI613" si="14">IF(AND(AH693&lt;=0.35,AH693&gt;0),1,0)</f>
        <v>0</v>
      </c>
      <c r="BJ590" s="1263"/>
      <c r="BK590" s="1255">
        <f t="shared" si="12"/>
        <v>0</v>
      </c>
      <c r="BL590" s="1257"/>
      <c r="BN590" s="1255">
        <f t="shared" si="5"/>
        <v>0</v>
      </c>
      <c r="BO590" s="1256"/>
      <c r="BP590" s="1256"/>
      <c r="BQ590" s="1256"/>
      <c r="BR590" s="1264"/>
      <c r="BS590" s="1255">
        <f t="shared" si="6"/>
        <v>2</v>
      </c>
      <c r="BT590" s="1256"/>
      <c r="BU590" s="1256"/>
      <c r="BV590" s="1256"/>
      <c r="BW590" s="1257"/>
      <c r="BX590" s="1255">
        <f t="shared" si="7"/>
        <v>0</v>
      </c>
      <c r="BY590" s="1256"/>
      <c r="BZ590" s="1256"/>
      <c r="CA590" s="1256"/>
      <c r="CB590" s="1257"/>
      <c r="CC590" s="1255">
        <f t="shared" si="8"/>
        <v>0</v>
      </c>
      <c r="CD590" s="1256"/>
      <c r="CE590" s="1256"/>
      <c r="CF590" s="1256"/>
      <c r="CG590" s="1257"/>
      <c r="CH590" s="1255">
        <f t="shared" si="9"/>
        <v>0</v>
      </c>
      <c r="CI590" s="1256"/>
      <c r="CJ590" s="1256"/>
      <c r="CK590" s="1256"/>
      <c r="CL590" s="1257"/>
      <c r="CM590" s="1255">
        <f t="shared" si="10"/>
        <v>0</v>
      </c>
      <c r="CN590" s="1256"/>
      <c r="CO590" s="1256"/>
      <c r="CP590" s="1256"/>
      <c r="CQ590" s="1257"/>
      <c r="CS590" s="1267">
        <f t="shared" ref="CS590:CS613" si="15">IF(AND(B693="SRO/Studio",AH693&lt;=0.3),G693,0)</f>
        <v>0</v>
      </c>
      <c r="CT590" s="1268"/>
      <c r="CU590" s="1268"/>
      <c r="CV590" s="1268"/>
      <c r="CW590" s="1269"/>
      <c r="CX590" s="1267">
        <f t="shared" ref="CX590:CX613" si="16">IF(AND(B693="1 Bedroom",AH693&lt;=0.3),G693,0)</f>
        <v>0</v>
      </c>
      <c r="CY590" s="1268"/>
      <c r="CZ590" s="1268"/>
      <c r="DA590" s="1268"/>
      <c r="DB590" s="1269"/>
      <c r="DC590" s="1267">
        <f t="shared" ref="DC590:DC613" si="17">IF(AND(B693="2 Bedrooms",AH693&lt;=0.3),G693,0)</f>
        <v>0</v>
      </c>
      <c r="DD590" s="1268"/>
      <c r="DE590" s="1268"/>
      <c r="DF590" s="1268"/>
      <c r="DG590" s="1269"/>
      <c r="DH590" s="1267">
        <f t="shared" ref="DH590:DH613" si="18">IF(AND(B693="3 Bedrooms",AH693&lt;=0.3),G693,0)</f>
        <v>0</v>
      </c>
      <c r="DI590" s="1268"/>
      <c r="DJ590" s="1268"/>
      <c r="DK590" s="1268"/>
      <c r="DL590" s="1269"/>
      <c r="DM590" s="1267">
        <f t="shared" ref="DM590:DM613" si="19">IF(AND(B693="4 Bedrooms",AH693&lt;=0.3),G693,0)</f>
        <v>0</v>
      </c>
      <c r="DN590" s="1268"/>
      <c r="DO590" s="1268"/>
      <c r="DP590" s="1268"/>
      <c r="DQ590" s="1269"/>
      <c r="DR590" s="1267">
        <f t="shared" ref="DR590:DR613" si="20">IF(AND(B693="5 Bedrooms",AH693&lt;=0.3),G693,0)</f>
        <v>0</v>
      </c>
      <c r="DS590" s="1268"/>
      <c r="DT590" s="1268"/>
      <c r="DU590" s="1268"/>
      <c r="DV590" s="1269"/>
    </row>
    <row r="591" spans="1:126" ht="12.95" customHeight="1">
      <c r="AZ591" s="5" t="s">
        <v>817</v>
      </c>
      <c r="BA591" s="41"/>
      <c r="BB591" s="41"/>
      <c r="BC591" s="41"/>
      <c r="BD591" s="41"/>
      <c r="BE591" s="1261">
        <f t="shared" si="13"/>
        <v>0</v>
      </c>
      <c r="BF591" s="1263"/>
      <c r="BG591" s="1255">
        <f t="shared" si="11"/>
        <v>0</v>
      </c>
      <c r="BH591" s="1257"/>
      <c r="BI591" s="1261">
        <f t="shared" si="14"/>
        <v>1</v>
      </c>
      <c r="BJ591" s="1263"/>
      <c r="BK591" s="1255">
        <f t="shared" si="12"/>
        <v>2</v>
      </c>
      <c r="BL591" s="1257"/>
      <c r="BN591" s="1255">
        <f t="shared" si="5"/>
        <v>0</v>
      </c>
      <c r="BO591" s="1256"/>
      <c r="BP591" s="1256"/>
      <c r="BQ591" s="1256"/>
      <c r="BR591" s="1264"/>
      <c r="BS591" s="1255">
        <f t="shared" si="6"/>
        <v>4</v>
      </c>
      <c r="BT591" s="1256"/>
      <c r="BU591" s="1256"/>
      <c r="BV591" s="1256"/>
      <c r="BW591" s="1257"/>
      <c r="BX591" s="1255">
        <f t="shared" si="7"/>
        <v>0</v>
      </c>
      <c r="BY591" s="1256"/>
      <c r="BZ591" s="1256"/>
      <c r="CA591" s="1256"/>
      <c r="CB591" s="1257"/>
      <c r="CC591" s="1255">
        <f t="shared" si="8"/>
        <v>0</v>
      </c>
      <c r="CD591" s="1256"/>
      <c r="CE591" s="1256"/>
      <c r="CF591" s="1256"/>
      <c r="CG591" s="1257"/>
      <c r="CH591" s="1255">
        <f t="shared" si="9"/>
        <v>0</v>
      </c>
      <c r="CI591" s="1256"/>
      <c r="CJ591" s="1256"/>
      <c r="CK591" s="1256"/>
      <c r="CL591" s="1257"/>
      <c r="CM591" s="1255">
        <f t="shared" si="10"/>
        <v>0</v>
      </c>
      <c r="CN591" s="1256"/>
      <c r="CO591" s="1256"/>
      <c r="CP591" s="1256"/>
      <c r="CQ591" s="1257"/>
      <c r="CS591" s="1267">
        <f t="shared" si="15"/>
        <v>0</v>
      </c>
      <c r="CT591" s="1268"/>
      <c r="CU591" s="1268"/>
      <c r="CV591" s="1268"/>
      <c r="CW591" s="1269"/>
      <c r="CX591" s="1267">
        <f t="shared" si="16"/>
        <v>2</v>
      </c>
      <c r="CY591" s="1268"/>
      <c r="CZ591" s="1268"/>
      <c r="DA591" s="1268"/>
      <c r="DB591" s="1269"/>
      <c r="DC591" s="1267">
        <f t="shared" si="17"/>
        <v>0</v>
      </c>
      <c r="DD591" s="1268"/>
      <c r="DE591" s="1268"/>
      <c r="DF591" s="1268"/>
      <c r="DG591" s="1269"/>
      <c r="DH591" s="1267">
        <f t="shared" si="18"/>
        <v>0</v>
      </c>
      <c r="DI591" s="1268"/>
      <c r="DJ591" s="1268"/>
      <c r="DK591" s="1268"/>
      <c r="DL591" s="1269"/>
      <c r="DM591" s="1267">
        <f t="shared" si="19"/>
        <v>0</v>
      </c>
      <c r="DN591" s="1268"/>
      <c r="DO591" s="1268"/>
      <c r="DP591" s="1268"/>
      <c r="DQ591" s="1269"/>
      <c r="DR591" s="1267">
        <f t="shared" si="20"/>
        <v>0</v>
      </c>
      <c r="DS591" s="1268"/>
      <c r="DT591" s="1268"/>
      <c r="DU591" s="1268"/>
      <c r="DV591" s="1269"/>
    </row>
    <row r="592" spans="1:126" ht="12.9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1">
        <f t="shared" si="13"/>
        <v>1</v>
      </c>
      <c r="BF592" s="1263"/>
      <c r="BG592" s="1255">
        <f t="shared" si="11"/>
        <v>4</v>
      </c>
      <c r="BH592" s="1257"/>
      <c r="BI592" s="1261">
        <f t="shared" si="14"/>
        <v>0</v>
      </c>
      <c r="BJ592" s="1263"/>
      <c r="BK592" s="1255">
        <f t="shared" si="12"/>
        <v>0</v>
      </c>
      <c r="BL592" s="1257"/>
      <c r="BN592" s="1255">
        <f t="shared" si="5"/>
        <v>0</v>
      </c>
      <c r="BO592" s="1256"/>
      <c r="BP592" s="1256"/>
      <c r="BQ592" s="1256"/>
      <c r="BR592" s="1264"/>
      <c r="BS592" s="1255">
        <f t="shared" si="6"/>
        <v>5</v>
      </c>
      <c r="BT592" s="1256"/>
      <c r="BU592" s="1256"/>
      <c r="BV592" s="1256"/>
      <c r="BW592" s="1257"/>
      <c r="BX592" s="1255">
        <f t="shared" si="7"/>
        <v>0</v>
      </c>
      <c r="BY592" s="1256"/>
      <c r="BZ592" s="1256"/>
      <c r="CA592" s="1256"/>
      <c r="CB592" s="1257"/>
      <c r="CC592" s="1255">
        <f t="shared" si="8"/>
        <v>0</v>
      </c>
      <c r="CD592" s="1256"/>
      <c r="CE592" s="1256"/>
      <c r="CF592" s="1256"/>
      <c r="CG592" s="1257"/>
      <c r="CH592" s="1255">
        <f t="shared" si="9"/>
        <v>0</v>
      </c>
      <c r="CI592" s="1256"/>
      <c r="CJ592" s="1256"/>
      <c r="CK592" s="1256"/>
      <c r="CL592" s="1257"/>
      <c r="CM592" s="1255">
        <f t="shared" si="10"/>
        <v>0</v>
      </c>
      <c r="CN592" s="1256"/>
      <c r="CO592" s="1256"/>
      <c r="CP592" s="1256"/>
      <c r="CQ592" s="1257"/>
      <c r="CS592" s="1267">
        <f t="shared" si="15"/>
        <v>0</v>
      </c>
      <c r="CT592" s="1268"/>
      <c r="CU592" s="1268"/>
      <c r="CV592" s="1268"/>
      <c r="CW592" s="1269"/>
      <c r="CX592" s="1267">
        <f t="shared" si="16"/>
        <v>0</v>
      </c>
      <c r="CY592" s="1268"/>
      <c r="CZ592" s="1268"/>
      <c r="DA592" s="1268"/>
      <c r="DB592" s="1269"/>
      <c r="DC592" s="1267">
        <f t="shared" si="17"/>
        <v>0</v>
      </c>
      <c r="DD592" s="1268"/>
      <c r="DE592" s="1268"/>
      <c r="DF592" s="1268"/>
      <c r="DG592" s="1269"/>
      <c r="DH592" s="1267">
        <f t="shared" si="18"/>
        <v>0</v>
      </c>
      <c r="DI592" s="1268"/>
      <c r="DJ592" s="1268"/>
      <c r="DK592" s="1268"/>
      <c r="DL592" s="1269"/>
      <c r="DM592" s="1267">
        <f t="shared" si="19"/>
        <v>0</v>
      </c>
      <c r="DN592" s="1268"/>
      <c r="DO592" s="1268"/>
      <c r="DP592" s="1268"/>
      <c r="DQ592" s="1269"/>
      <c r="DR592" s="1267">
        <f t="shared" si="20"/>
        <v>0</v>
      </c>
      <c r="DS592" s="1268"/>
      <c r="DT592" s="1268"/>
      <c r="DU592" s="1268"/>
      <c r="DV592" s="1269"/>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1">
        <f t="shared" si="13"/>
        <v>1</v>
      </c>
      <c r="BF593" s="1263"/>
      <c r="BG593" s="1255">
        <f t="shared" si="11"/>
        <v>5</v>
      </c>
      <c r="BH593" s="1257"/>
      <c r="BI593" s="1261">
        <f t="shared" si="14"/>
        <v>0</v>
      </c>
      <c r="BJ593" s="1263"/>
      <c r="BK593" s="1255">
        <f t="shared" si="12"/>
        <v>0</v>
      </c>
      <c r="BL593" s="1257"/>
      <c r="BN593" s="1255">
        <f t="shared" si="5"/>
        <v>0</v>
      </c>
      <c r="BO593" s="1256"/>
      <c r="BP593" s="1256"/>
      <c r="BQ593" s="1256"/>
      <c r="BR593" s="1264"/>
      <c r="BS593" s="1255">
        <f t="shared" si="6"/>
        <v>5</v>
      </c>
      <c r="BT593" s="1256"/>
      <c r="BU593" s="1256"/>
      <c r="BV593" s="1256"/>
      <c r="BW593" s="1257"/>
      <c r="BX593" s="1255">
        <f t="shared" si="7"/>
        <v>0</v>
      </c>
      <c r="BY593" s="1256"/>
      <c r="BZ593" s="1256"/>
      <c r="CA593" s="1256"/>
      <c r="CB593" s="1257"/>
      <c r="CC593" s="1255">
        <f t="shared" si="8"/>
        <v>0</v>
      </c>
      <c r="CD593" s="1256"/>
      <c r="CE593" s="1256"/>
      <c r="CF593" s="1256"/>
      <c r="CG593" s="1257"/>
      <c r="CH593" s="1255">
        <f t="shared" si="9"/>
        <v>0</v>
      </c>
      <c r="CI593" s="1256"/>
      <c r="CJ593" s="1256"/>
      <c r="CK593" s="1256"/>
      <c r="CL593" s="1257"/>
      <c r="CM593" s="1255">
        <f t="shared" si="10"/>
        <v>0</v>
      </c>
      <c r="CN593" s="1256"/>
      <c r="CO593" s="1256"/>
      <c r="CP593" s="1256"/>
      <c r="CQ593" s="1257"/>
      <c r="CS593" s="1267">
        <f t="shared" si="15"/>
        <v>0</v>
      </c>
      <c r="CT593" s="1268"/>
      <c r="CU593" s="1268"/>
      <c r="CV593" s="1268"/>
      <c r="CW593" s="1269"/>
      <c r="CX593" s="1267">
        <f t="shared" si="16"/>
        <v>0</v>
      </c>
      <c r="CY593" s="1268"/>
      <c r="CZ593" s="1268"/>
      <c r="DA593" s="1268"/>
      <c r="DB593" s="1269"/>
      <c r="DC593" s="1267">
        <f t="shared" si="17"/>
        <v>0</v>
      </c>
      <c r="DD593" s="1268"/>
      <c r="DE593" s="1268"/>
      <c r="DF593" s="1268"/>
      <c r="DG593" s="1269"/>
      <c r="DH593" s="1267">
        <f t="shared" si="18"/>
        <v>0</v>
      </c>
      <c r="DI593" s="1268"/>
      <c r="DJ593" s="1268"/>
      <c r="DK593" s="1268"/>
      <c r="DL593" s="1269"/>
      <c r="DM593" s="1267">
        <f t="shared" si="19"/>
        <v>0</v>
      </c>
      <c r="DN593" s="1268"/>
      <c r="DO593" s="1268"/>
      <c r="DP593" s="1268"/>
      <c r="DQ593" s="1269"/>
      <c r="DR593" s="1267">
        <f t="shared" si="20"/>
        <v>0</v>
      </c>
      <c r="DS593" s="1268"/>
      <c r="DT593" s="1268"/>
      <c r="DU593" s="1268"/>
      <c r="DV593" s="1269"/>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1">
        <f t="shared" si="13"/>
        <v>0</v>
      </c>
      <c r="BF594" s="1263"/>
      <c r="BG594" s="1255">
        <f t="shared" si="11"/>
        <v>0</v>
      </c>
      <c r="BH594" s="1257"/>
      <c r="BI594" s="1261">
        <f t="shared" si="14"/>
        <v>0</v>
      </c>
      <c r="BJ594" s="1263"/>
      <c r="BK594" s="1255">
        <f t="shared" si="12"/>
        <v>0</v>
      </c>
      <c r="BL594" s="1257"/>
      <c r="BN594" s="1255">
        <f t="shared" si="5"/>
        <v>0</v>
      </c>
      <c r="BO594" s="1256"/>
      <c r="BP594" s="1256"/>
      <c r="BQ594" s="1256"/>
      <c r="BR594" s="1264"/>
      <c r="BS594" s="1255">
        <f t="shared" si="6"/>
        <v>0</v>
      </c>
      <c r="BT594" s="1256"/>
      <c r="BU594" s="1256"/>
      <c r="BV594" s="1256"/>
      <c r="BW594" s="1257"/>
      <c r="BX594" s="1255">
        <f t="shared" si="7"/>
        <v>0</v>
      </c>
      <c r="BY594" s="1256"/>
      <c r="BZ594" s="1256"/>
      <c r="CA594" s="1256"/>
      <c r="CB594" s="1257"/>
      <c r="CC594" s="1255">
        <f t="shared" si="8"/>
        <v>0</v>
      </c>
      <c r="CD594" s="1256"/>
      <c r="CE594" s="1256"/>
      <c r="CF594" s="1256"/>
      <c r="CG594" s="1257"/>
      <c r="CH594" s="1255">
        <f t="shared" si="9"/>
        <v>0</v>
      </c>
      <c r="CI594" s="1256"/>
      <c r="CJ594" s="1256"/>
      <c r="CK594" s="1256"/>
      <c r="CL594" s="1257"/>
      <c r="CM594" s="1255">
        <f t="shared" si="10"/>
        <v>0</v>
      </c>
      <c r="CN594" s="1256"/>
      <c r="CO594" s="1256"/>
      <c r="CP594" s="1256"/>
      <c r="CQ594" s="1257"/>
      <c r="CS594" s="1267">
        <f t="shared" si="15"/>
        <v>0</v>
      </c>
      <c r="CT594" s="1268"/>
      <c r="CU594" s="1268"/>
      <c r="CV594" s="1268"/>
      <c r="CW594" s="1269"/>
      <c r="CX594" s="1267">
        <f t="shared" si="16"/>
        <v>0</v>
      </c>
      <c r="CY594" s="1268"/>
      <c r="CZ594" s="1268"/>
      <c r="DA594" s="1268"/>
      <c r="DB594" s="1269"/>
      <c r="DC594" s="1267">
        <f t="shared" si="17"/>
        <v>0</v>
      </c>
      <c r="DD594" s="1268"/>
      <c r="DE594" s="1268"/>
      <c r="DF594" s="1268"/>
      <c r="DG594" s="1269"/>
      <c r="DH594" s="1267">
        <f t="shared" si="18"/>
        <v>0</v>
      </c>
      <c r="DI594" s="1268"/>
      <c r="DJ594" s="1268"/>
      <c r="DK594" s="1268"/>
      <c r="DL594" s="1269"/>
      <c r="DM594" s="1267">
        <f t="shared" si="19"/>
        <v>0</v>
      </c>
      <c r="DN594" s="1268"/>
      <c r="DO594" s="1268"/>
      <c r="DP594" s="1268"/>
      <c r="DQ594" s="1269"/>
      <c r="DR594" s="1267">
        <f t="shared" si="20"/>
        <v>0</v>
      </c>
      <c r="DS594" s="1268"/>
      <c r="DT594" s="1268"/>
      <c r="DU594" s="1268"/>
      <c r="DV594" s="1269"/>
    </row>
    <row r="595" spans="1:126" ht="12.95" customHeight="1">
      <c r="A595" s="4"/>
      <c r="B595" t="s">
        <v>873</v>
      </c>
      <c r="G595" s="1233"/>
      <c r="H595" s="1233"/>
      <c r="I595" s="1233"/>
      <c r="J595" s="1233"/>
      <c r="K595" s="1233"/>
      <c r="L595" s="1233"/>
      <c r="M595" s="1233"/>
      <c r="N595" s="1233"/>
      <c r="O595" s="1233"/>
      <c r="P595" s="1233"/>
      <c r="Q595" s="1233"/>
      <c r="R595" s="1233"/>
      <c r="T595" s="4"/>
      <c r="U595" t="s">
        <v>873</v>
      </c>
      <c r="Z595" s="1235"/>
      <c r="AA595" s="1235"/>
      <c r="AB595" s="1235"/>
      <c r="AC595" s="1235"/>
      <c r="AD595" s="1235"/>
      <c r="AE595" s="1235"/>
      <c r="AF595" s="1235"/>
      <c r="AG595" s="1235"/>
      <c r="AH595" s="1235"/>
      <c r="AI595" s="1235"/>
      <c r="AJ595" s="1235"/>
      <c r="AK595" s="1235"/>
      <c r="AZ595" s="41"/>
      <c r="BA595" s="41"/>
      <c r="BB595" s="41"/>
      <c r="BC595" s="41"/>
      <c r="BD595" s="41"/>
      <c r="BE595" s="1261">
        <f t="shared" si="13"/>
        <v>0</v>
      </c>
      <c r="BF595" s="1263"/>
      <c r="BG595" s="1255">
        <f t="shared" si="11"/>
        <v>0</v>
      </c>
      <c r="BH595" s="1257"/>
      <c r="BI595" s="1261">
        <f t="shared" si="14"/>
        <v>0</v>
      </c>
      <c r="BJ595" s="1263"/>
      <c r="BK595" s="1255">
        <f t="shared" si="12"/>
        <v>0</v>
      </c>
      <c r="BL595" s="1257"/>
      <c r="BN595" s="1255">
        <f t="shared" si="5"/>
        <v>0</v>
      </c>
      <c r="BO595" s="1256"/>
      <c r="BP595" s="1256"/>
      <c r="BQ595" s="1256"/>
      <c r="BR595" s="1264"/>
      <c r="BS595" s="1255">
        <f t="shared" si="6"/>
        <v>0</v>
      </c>
      <c r="BT595" s="1256"/>
      <c r="BU595" s="1256"/>
      <c r="BV595" s="1256"/>
      <c r="BW595" s="1257"/>
      <c r="BX595" s="1255">
        <f t="shared" si="7"/>
        <v>7</v>
      </c>
      <c r="BY595" s="1256"/>
      <c r="BZ595" s="1256"/>
      <c r="CA595" s="1256"/>
      <c r="CB595" s="1257"/>
      <c r="CC595" s="1255">
        <f t="shared" si="8"/>
        <v>0</v>
      </c>
      <c r="CD595" s="1256"/>
      <c r="CE595" s="1256"/>
      <c r="CF595" s="1256"/>
      <c r="CG595" s="1257"/>
      <c r="CH595" s="1255">
        <f t="shared" si="9"/>
        <v>0</v>
      </c>
      <c r="CI595" s="1256"/>
      <c r="CJ595" s="1256"/>
      <c r="CK595" s="1256"/>
      <c r="CL595" s="1257"/>
      <c r="CM595" s="1255">
        <f t="shared" si="10"/>
        <v>0</v>
      </c>
      <c r="CN595" s="1256"/>
      <c r="CO595" s="1256"/>
      <c r="CP595" s="1256"/>
      <c r="CQ595" s="1257"/>
      <c r="CS595" s="1267">
        <f t="shared" si="15"/>
        <v>0</v>
      </c>
      <c r="CT595" s="1268"/>
      <c r="CU595" s="1268"/>
      <c r="CV595" s="1268"/>
      <c r="CW595" s="1269"/>
      <c r="CX595" s="1267">
        <f t="shared" si="16"/>
        <v>0</v>
      </c>
      <c r="CY595" s="1268"/>
      <c r="CZ595" s="1268"/>
      <c r="DA595" s="1268"/>
      <c r="DB595" s="1269"/>
      <c r="DC595" s="1267">
        <f t="shared" si="17"/>
        <v>0</v>
      </c>
      <c r="DD595" s="1268"/>
      <c r="DE595" s="1268"/>
      <c r="DF595" s="1268"/>
      <c r="DG595" s="1269"/>
      <c r="DH595" s="1267">
        <f t="shared" si="18"/>
        <v>0</v>
      </c>
      <c r="DI595" s="1268"/>
      <c r="DJ595" s="1268"/>
      <c r="DK595" s="1268"/>
      <c r="DL595" s="1269"/>
      <c r="DM595" s="1267">
        <f t="shared" si="19"/>
        <v>0</v>
      </c>
      <c r="DN595" s="1268"/>
      <c r="DO595" s="1268"/>
      <c r="DP595" s="1268"/>
      <c r="DQ595" s="1269"/>
      <c r="DR595" s="1267">
        <f t="shared" si="20"/>
        <v>0</v>
      </c>
      <c r="DS595" s="1268"/>
      <c r="DT595" s="1268"/>
      <c r="DU595" s="1268"/>
      <c r="DV595" s="1269"/>
    </row>
    <row r="596" spans="1:126" ht="12.95" customHeight="1">
      <c r="A596" s="4"/>
      <c r="B596" t="s">
        <v>685</v>
      </c>
      <c r="G596" s="1234"/>
      <c r="H596" s="1234"/>
      <c r="I596" s="1234"/>
      <c r="J596" s="1234"/>
      <c r="K596" s="1234"/>
      <c r="L596" s="1234"/>
      <c r="O596" s="42" t="s">
        <v>858</v>
      </c>
      <c r="P596" s="1231"/>
      <c r="Q596" s="1231"/>
      <c r="R596" s="1231"/>
      <c r="T596" s="4"/>
      <c r="U596" t="s">
        <v>685</v>
      </c>
      <c r="Z596" s="1234"/>
      <c r="AA596" s="1234"/>
      <c r="AB596" s="1234"/>
      <c r="AC596" s="1234"/>
      <c r="AD596" s="1234"/>
      <c r="AE596" s="1234"/>
      <c r="AH596" s="42" t="s">
        <v>858</v>
      </c>
      <c r="AI596" s="1231"/>
      <c r="AJ596" s="1231"/>
      <c r="AK596" s="1231"/>
      <c r="AZ596" s="41"/>
      <c r="BA596" s="41"/>
      <c r="BB596" s="41"/>
      <c r="BC596" s="41"/>
      <c r="BD596" s="41"/>
      <c r="BE596" s="1261">
        <f t="shared" si="13"/>
        <v>0</v>
      </c>
      <c r="BF596" s="1263"/>
      <c r="BG596" s="1255">
        <f t="shared" si="11"/>
        <v>0</v>
      </c>
      <c r="BH596" s="1257"/>
      <c r="BI596" s="1261">
        <f t="shared" si="14"/>
        <v>1</v>
      </c>
      <c r="BJ596" s="1263"/>
      <c r="BK596" s="1255">
        <f t="shared" si="12"/>
        <v>7</v>
      </c>
      <c r="BL596" s="1257"/>
      <c r="BN596" s="1255">
        <f t="shared" si="5"/>
        <v>0</v>
      </c>
      <c r="BO596" s="1256"/>
      <c r="BP596" s="1256"/>
      <c r="BQ596" s="1256"/>
      <c r="BR596" s="1264"/>
      <c r="BS596" s="1255">
        <f t="shared" si="6"/>
        <v>0</v>
      </c>
      <c r="BT596" s="1256"/>
      <c r="BU596" s="1256"/>
      <c r="BV596" s="1256"/>
      <c r="BW596" s="1257"/>
      <c r="BX596" s="1255">
        <f t="shared" si="7"/>
        <v>1</v>
      </c>
      <c r="BY596" s="1256"/>
      <c r="BZ596" s="1256"/>
      <c r="CA596" s="1256"/>
      <c r="CB596" s="1257"/>
      <c r="CC596" s="1255">
        <f t="shared" si="8"/>
        <v>0</v>
      </c>
      <c r="CD596" s="1256"/>
      <c r="CE596" s="1256"/>
      <c r="CF596" s="1256"/>
      <c r="CG596" s="1257"/>
      <c r="CH596" s="1255">
        <f t="shared" si="9"/>
        <v>0</v>
      </c>
      <c r="CI596" s="1256"/>
      <c r="CJ596" s="1256"/>
      <c r="CK596" s="1256"/>
      <c r="CL596" s="1257"/>
      <c r="CM596" s="1255">
        <f t="shared" si="10"/>
        <v>0</v>
      </c>
      <c r="CN596" s="1256"/>
      <c r="CO596" s="1256"/>
      <c r="CP596" s="1256"/>
      <c r="CQ596" s="1257"/>
      <c r="CS596" s="1267">
        <f t="shared" si="15"/>
        <v>0</v>
      </c>
      <c r="CT596" s="1268"/>
      <c r="CU596" s="1268"/>
      <c r="CV596" s="1268"/>
      <c r="CW596" s="1269"/>
      <c r="CX596" s="1267">
        <f t="shared" si="16"/>
        <v>0</v>
      </c>
      <c r="CY596" s="1268"/>
      <c r="CZ596" s="1268"/>
      <c r="DA596" s="1268"/>
      <c r="DB596" s="1269"/>
      <c r="DC596" s="1267">
        <f t="shared" si="17"/>
        <v>7</v>
      </c>
      <c r="DD596" s="1268"/>
      <c r="DE596" s="1268"/>
      <c r="DF596" s="1268"/>
      <c r="DG596" s="1269"/>
      <c r="DH596" s="1267">
        <f t="shared" si="18"/>
        <v>0</v>
      </c>
      <c r="DI596" s="1268"/>
      <c r="DJ596" s="1268"/>
      <c r="DK596" s="1268"/>
      <c r="DL596" s="1269"/>
      <c r="DM596" s="1267">
        <f t="shared" si="19"/>
        <v>0</v>
      </c>
      <c r="DN596" s="1268"/>
      <c r="DO596" s="1268"/>
      <c r="DP596" s="1268"/>
      <c r="DQ596" s="1269"/>
      <c r="DR596" s="1267">
        <f t="shared" si="20"/>
        <v>0</v>
      </c>
      <c r="DS596" s="1268"/>
      <c r="DT596" s="1268"/>
      <c r="DU596" s="1268"/>
      <c r="DV596" s="1269"/>
    </row>
    <row r="597" spans="1:126" s="5" customFormat="1" ht="12.95"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1">
        <f t="shared" si="13"/>
        <v>1</v>
      </c>
      <c r="BF597" s="1263"/>
      <c r="BG597" s="1255">
        <f t="shared" si="11"/>
        <v>1</v>
      </c>
      <c r="BH597" s="1257"/>
      <c r="BI597" s="1261">
        <f t="shared" si="14"/>
        <v>0</v>
      </c>
      <c r="BJ597" s="1263"/>
      <c r="BK597" s="1255">
        <f t="shared" si="12"/>
        <v>0</v>
      </c>
      <c r="BL597" s="1257"/>
      <c r="BN597" s="1255">
        <f t="shared" si="5"/>
        <v>0</v>
      </c>
      <c r="BO597" s="1256"/>
      <c r="BP597" s="1256"/>
      <c r="BQ597" s="1256"/>
      <c r="BR597" s="1264"/>
      <c r="BS597" s="1255">
        <f t="shared" si="6"/>
        <v>0</v>
      </c>
      <c r="BT597" s="1256"/>
      <c r="BU597" s="1256"/>
      <c r="BV597" s="1256"/>
      <c r="BW597" s="1257"/>
      <c r="BX597" s="1255">
        <f t="shared" si="7"/>
        <v>6</v>
      </c>
      <c r="BY597" s="1256"/>
      <c r="BZ597" s="1256"/>
      <c r="CA597" s="1256"/>
      <c r="CB597" s="1257"/>
      <c r="CC597" s="1255">
        <f t="shared" si="8"/>
        <v>0</v>
      </c>
      <c r="CD597" s="1256"/>
      <c r="CE597" s="1256"/>
      <c r="CF597" s="1256"/>
      <c r="CG597" s="1257"/>
      <c r="CH597" s="1255">
        <f t="shared" si="9"/>
        <v>0</v>
      </c>
      <c r="CI597" s="1256"/>
      <c r="CJ597" s="1256"/>
      <c r="CK597" s="1256"/>
      <c r="CL597" s="1257"/>
      <c r="CM597" s="1255">
        <f t="shared" si="10"/>
        <v>0</v>
      </c>
      <c r="CN597" s="1256"/>
      <c r="CO597" s="1256"/>
      <c r="CP597" s="1256"/>
      <c r="CQ597" s="1257"/>
      <c r="CS597" s="1267">
        <f t="shared" si="15"/>
        <v>0</v>
      </c>
      <c r="CT597" s="1268"/>
      <c r="CU597" s="1268"/>
      <c r="CV597" s="1268"/>
      <c r="CW597" s="1269"/>
      <c r="CX597" s="1267">
        <f t="shared" si="16"/>
        <v>0</v>
      </c>
      <c r="CY597" s="1268"/>
      <c r="CZ597" s="1268"/>
      <c r="DA597" s="1268"/>
      <c r="DB597" s="1269"/>
      <c r="DC597" s="1267">
        <f t="shared" si="17"/>
        <v>0</v>
      </c>
      <c r="DD597" s="1268"/>
      <c r="DE597" s="1268"/>
      <c r="DF597" s="1268"/>
      <c r="DG597" s="1269"/>
      <c r="DH597" s="1267">
        <f t="shared" si="18"/>
        <v>0</v>
      </c>
      <c r="DI597" s="1268"/>
      <c r="DJ597" s="1268"/>
      <c r="DK597" s="1268"/>
      <c r="DL597" s="1269"/>
      <c r="DM597" s="1267">
        <f t="shared" si="19"/>
        <v>0</v>
      </c>
      <c r="DN597" s="1268"/>
      <c r="DO597" s="1268"/>
      <c r="DP597" s="1268"/>
      <c r="DQ597" s="1269"/>
      <c r="DR597" s="1267">
        <f t="shared" si="20"/>
        <v>0</v>
      </c>
      <c r="DS597" s="1268"/>
      <c r="DT597" s="1268"/>
      <c r="DU597" s="1268"/>
      <c r="DV597" s="1269"/>
    </row>
    <row r="598" spans="1:126" s="5" customFormat="1" ht="12.95" customHeight="1">
      <c r="A598" s="4"/>
      <c r="B598" t="s">
        <v>876</v>
      </c>
      <c r="C598"/>
      <c r="D598"/>
      <c r="E598"/>
      <c r="F598"/>
      <c r="G598"/>
      <c r="H598"/>
      <c r="I598"/>
      <c r="J598"/>
      <c r="K598"/>
      <c r="L598"/>
      <c r="M598"/>
      <c r="N598" s="1147" t="s">
        <v>511</v>
      </c>
      <c r="O598" s="1147"/>
      <c r="P598"/>
      <c r="Q598"/>
      <c r="R598"/>
      <c r="S598"/>
      <c r="T598" s="4"/>
      <c r="U598" t="s">
        <v>876</v>
      </c>
      <c r="V598"/>
      <c r="W598"/>
      <c r="X598"/>
      <c r="Y598"/>
      <c r="Z598"/>
      <c r="AA598"/>
      <c r="AB598"/>
      <c r="AC598"/>
      <c r="AD598"/>
      <c r="AE598"/>
      <c r="AF598"/>
      <c r="AG598" s="1147" t="s">
        <v>511</v>
      </c>
      <c r="AH598" s="1147"/>
      <c r="AI598"/>
      <c r="AJ598"/>
      <c r="AK598"/>
      <c r="AL598"/>
      <c r="AZ598" s="41"/>
      <c r="BA598" s="41"/>
      <c r="BB598" s="41"/>
      <c r="BC598" s="41"/>
      <c r="BD598" s="41"/>
      <c r="BE598" s="1261">
        <f t="shared" si="13"/>
        <v>1</v>
      </c>
      <c r="BF598" s="1263"/>
      <c r="BG598" s="1255">
        <f t="shared" si="11"/>
        <v>6</v>
      </c>
      <c r="BH598" s="1257"/>
      <c r="BI598" s="1261">
        <f t="shared" si="14"/>
        <v>0</v>
      </c>
      <c r="BJ598" s="1263"/>
      <c r="BK598" s="1255">
        <f t="shared" si="12"/>
        <v>0</v>
      </c>
      <c r="BL598" s="1257"/>
      <c r="BN598" s="1255">
        <f t="shared" si="5"/>
        <v>0</v>
      </c>
      <c r="BO598" s="1256"/>
      <c r="BP598" s="1256"/>
      <c r="BQ598" s="1256"/>
      <c r="BR598" s="1264"/>
      <c r="BS598" s="1255">
        <f t="shared" si="6"/>
        <v>0</v>
      </c>
      <c r="BT598" s="1256"/>
      <c r="BU598" s="1256"/>
      <c r="BV598" s="1256"/>
      <c r="BW598" s="1257"/>
      <c r="BX598" s="1255">
        <f t="shared" si="7"/>
        <v>4</v>
      </c>
      <c r="BY598" s="1256"/>
      <c r="BZ598" s="1256"/>
      <c r="CA598" s="1256"/>
      <c r="CB598" s="1257"/>
      <c r="CC598" s="1255">
        <f t="shared" si="8"/>
        <v>0</v>
      </c>
      <c r="CD598" s="1256"/>
      <c r="CE598" s="1256"/>
      <c r="CF598" s="1256"/>
      <c r="CG598" s="1257"/>
      <c r="CH598" s="1255">
        <f t="shared" si="9"/>
        <v>0</v>
      </c>
      <c r="CI598" s="1256"/>
      <c r="CJ598" s="1256"/>
      <c r="CK598" s="1256"/>
      <c r="CL598" s="1257"/>
      <c r="CM598" s="1255">
        <f t="shared" si="10"/>
        <v>0</v>
      </c>
      <c r="CN598" s="1256"/>
      <c r="CO598" s="1256"/>
      <c r="CP598" s="1256"/>
      <c r="CQ598" s="1257"/>
      <c r="CS598" s="1267">
        <f t="shared" si="15"/>
        <v>0</v>
      </c>
      <c r="CT598" s="1268"/>
      <c r="CU598" s="1268"/>
      <c r="CV598" s="1268"/>
      <c r="CW598" s="1269"/>
      <c r="CX598" s="1267">
        <f t="shared" si="16"/>
        <v>0</v>
      </c>
      <c r="CY598" s="1268"/>
      <c r="CZ598" s="1268"/>
      <c r="DA598" s="1268"/>
      <c r="DB598" s="1269"/>
      <c r="DC598" s="1267">
        <f t="shared" si="17"/>
        <v>0</v>
      </c>
      <c r="DD598" s="1268"/>
      <c r="DE598" s="1268"/>
      <c r="DF598" s="1268"/>
      <c r="DG598" s="1269"/>
      <c r="DH598" s="1267">
        <f t="shared" si="18"/>
        <v>0</v>
      </c>
      <c r="DI598" s="1268"/>
      <c r="DJ598" s="1268"/>
      <c r="DK598" s="1268"/>
      <c r="DL598" s="1269"/>
      <c r="DM598" s="1267">
        <f t="shared" si="19"/>
        <v>0</v>
      </c>
      <c r="DN598" s="1268"/>
      <c r="DO598" s="1268"/>
      <c r="DP598" s="1268"/>
      <c r="DQ598" s="1269"/>
      <c r="DR598" s="1267">
        <f t="shared" si="20"/>
        <v>0</v>
      </c>
      <c r="DS598" s="1268"/>
      <c r="DT598" s="1268"/>
      <c r="DU598" s="1268"/>
      <c r="DV598" s="126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1">
        <f t="shared" si="13"/>
        <v>1</v>
      </c>
      <c r="BF599" s="1263"/>
      <c r="BG599" s="1255">
        <f t="shared" si="11"/>
        <v>4</v>
      </c>
      <c r="BH599" s="1257"/>
      <c r="BI599" s="1261">
        <f t="shared" si="14"/>
        <v>0</v>
      </c>
      <c r="BJ599" s="1263"/>
      <c r="BK599" s="1255">
        <f t="shared" si="12"/>
        <v>0</v>
      </c>
      <c r="BL599" s="1257"/>
      <c r="BN599" s="1255">
        <f t="shared" si="5"/>
        <v>0</v>
      </c>
      <c r="BO599" s="1256"/>
      <c r="BP599" s="1256"/>
      <c r="BQ599" s="1256"/>
      <c r="BR599" s="1264"/>
      <c r="BS599" s="1255">
        <f t="shared" si="6"/>
        <v>0</v>
      </c>
      <c r="BT599" s="1256"/>
      <c r="BU599" s="1256"/>
      <c r="BV599" s="1256"/>
      <c r="BW599" s="1257"/>
      <c r="BX599" s="1255">
        <f t="shared" si="7"/>
        <v>8</v>
      </c>
      <c r="BY599" s="1256"/>
      <c r="BZ599" s="1256"/>
      <c r="CA599" s="1256"/>
      <c r="CB599" s="1257"/>
      <c r="CC599" s="1255">
        <f t="shared" si="8"/>
        <v>0</v>
      </c>
      <c r="CD599" s="1256"/>
      <c r="CE599" s="1256"/>
      <c r="CF599" s="1256"/>
      <c r="CG599" s="1257"/>
      <c r="CH599" s="1255">
        <f t="shared" si="9"/>
        <v>0</v>
      </c>
      <c r="CI599" s="1256"/>
      <c r="CJ599" s="1256"/>
      <c r="CK599" s="1256"/>
      <c r="CL599" s="1257"/>
      <c r="CM599" s="1255">
        <f t="shared" si="10"/>
        <v>0</v>
      </c>
      <c r="CN599" s="1256"/>
      <c r="CO599" s="1256"/>
      <c r="CP599" s="1256"/>
      <c r="CQ599" s="1257"/>
      <c r="CS599" s="1267">
        <f t="shared" si="15"/>
        <v>0</v>
      </c>
      <c r="CT599" s="1268"/>
      <c r="CU599" s="1268"/>
      <c r="CV599" s="1268"/>
      <c r="CW599" s="1269"/>
      <c r="CX599" s="1267">
        <f t="shared" si="16"/>
        <v>0</v>
      </c>
      <c r="CY599" s="1268"/>
      <c r="CZ599" s="1268"/>
      <c r="DA599" s="1268"/>
      <c r="DB599" s="1269"/>
      <c r="DC599" s="1267">
        <f t="shared" si="17"/>
        <v>0</v>
      </c>
      <c r="DD599" s="1268"/>
      <c r="DE599" s="1268"/>
      <c r="DF599" s="1268"/>
      <c r="DG599" s="1269"/>
      <c r="DH599" s="1267">
        <f t="shared" si="18"/>
        <v>0</v>
      </c>
      <c r="DI599" s="1268"/>
      <c r="DJ599" s="1268"/>
      <c r="DK599" s="1268"/>
      <c r="DL599" s="1269"/>
      <c r="DM599" s="1267">
        <f t="shared" si="19"/>
        <v>0</v>
      </c>
      <c r="DN599" s="1268"/>
      <c r="DO599" s="1268"/>
      <c r="DP599" s="1268"/>
      <c r="DQ599" s="1269"/>
      <c r="DR599" s="1267">
        <f t="shared" si="20"/>
        <v>0</v>
      </c>
      <c r="DS599" s="1268"/>
      <c r="DT599" s="1268"/>
      <c r="DU599" s="1268"/>
      <c r="DV599" s="1269"/>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1">
        <f t="shared" si="13"/>
        <v>1</v>
      </c>
      <c r="BF600" s="1263"/>
      <c r="BG600" s="1255">
        <f t="shared" si="11"/>
        <v>8</v>
      </c>
      <c r="BH600" s="1257"/>
      <c r="BI600" s="1261">
        <f t="shared" si="14"/>
        <v>0</v>
      </c>
      <c r="BJ600" s="1263"/>
      <c r="BK600" s="1255">
        <f t="shared" si="12"/>
        <v>0</v>
      </c>
      <c r="BL600" s="1257"/>
      <c r="BN600" s="1255">
        <f t="shared" si="5"/>
        <v>0</v>
      </c>
      <c r="BO600" s="1256"/>
      <c r="BP600" s="1256"/>
      <c r="BQ600" s="1256"/>
      <c r="BR600" s="1264"/>
      <c r="BS600" s="1255">
        <f t="shared" si="6"/>
        <v>0</v>
      </c>
      <c r="BT600" s="1256"/>
      <c r="BU600" s="1256"/>
      <c r="BV600" s="1256"/>
      <c r="BW600" s="1257"/>
      <c r="BX600" s="1255">
        <f t="shared" si="7"/>
        <v>6</v>
      </c>
      <c r="BY600" s="1256"/>
      <c r="BZ600" s="1256"/>
      <c r="CA600" s="1256"/>
      <c r="CB600" s="1257"/>
      <c r="CC600" s="1255">
        <f t="shared" si="8"/>
        <v>0</v>
      </c>
      <c r="CD600" s="1256"/>
      <c r="CE600" s="1256"/>
      <c r="CF600" s="1256"/>
      <c r="CG600" s="1257"/>
      <c r="CH600" s="1255">
        <f t="shared" si="9"/>
        <v>0</v>
      </c>
      <c r="CI600" s="1256"/>
      <c r="CJ600" s="1256"/>
      <c r="CK600" s="1256"/>
      <c r="CL600" s="1257"/>
      <c r="CM600" s="1255">
        <f t="shared" si="10"/>
        <v>0</v>
      </c>
      <c r="CN600" s="1256"/>
      <c r="CO600" s="1256"/>
      <c r="CP600" s="1256"/>
      <c r="CQ600" s="1257"/>
      <c r="CS600" s="1267">
        <f t="shared" si="15"/>
        <v>0</v>
      </c>
      <c r="CT600" s="1268"/>
      <c r="CU600" s="1268"/>
      <c r="CV600" s="1268"/>
      <c r="CW600" s="1269"/>
      <c r="CX600" s="1267">
        <f t="shared" si="16"/>
        <v>0</v>
      </c>
      <c r="CY600" s="1268"/>
      <c r="CZ600" s="1268"/>
      <c r="DA600" s="1268"/>
      <c r="DB600" s="1269"/>
      <c r="DC600" s="1267">
        <f t="shared" si="17"/>
        <v>0</v>
      </c>
      <c r="DD600" s="1268"/>
      <c r="DE600" s="1268"/>
      <c r="DF600" s="1268"/>
      <c r="DG600" s="1269"/>
      <c r="DH600" s="1267">
        <f t="shared" si="18"/>
        <v>0</v>
      </c>
      <c r="DI600" s="1268"/>
      <c r="DJ600" s="1268"/>
      <c r="DK600" s="1268"/>
      <c r="DL600" s="1269"/>
      <c r="DM600" s="1267">
        <f t="shared" si="19"/>
        <v>0</v>
      </c>
      <c r="DN600" s="1268"/>
      <c r="DO600" s="1268"/>
      <c r="DP600" s="1268"/>
      <c r="DQ600" s="1269"/>
      <c r="DR600" s="1267">
        <f t="shared" si="20"/>
        <v>0</v>
      </c>
      <c r="DS600" s="1268"/>
      <c r="DT600" s="1268"/>
      <c r="DU600" s="1268"/>
      <c r="DV600" s="1269"/>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1">
        <f t="shared" si="13"/>
        <v>1</v>
      </c>
      <c r="BF601" s="1263"/>
      <c r="BG601" s="1255">
        <f t="shared" si="11"/>
        <v>6</v>
      </c>
      <c r="BH601" s="1257"/>
      <c r="BI601" s="1261">
        <f t="shared" si="14"/>
        <v>0</v>
      </c>
      <c r="BJ601" s="1263"/>
      <c r="BK601" s="1255">
        <f t="shared" si="12"/>
        <v>0</v>
      </c>
      <c r="BL601" s="1257"/>
      <c r="BN601" s="1255">
        <f t="shared" si="5"/>
        <v>0</v>
      </c>
      <c r="BO601" s="1256"/>
      <c r="BP601" s="1256"/>
      <c r="BQ601" s="1256"/>
      <c r="BR601" s="1264"/>
      <c r="BS601" s="1255">
        <f t="shared" si="6"/>
        <v>0</v>
      </c>
      <c r="BT601" s="1256"/>
      <c r="BU601" s="1256"/>
      <c r="BV601" s="1256"/>
      <c r="BW601" s="1257"/>
      <c r="BX601" s="1255">
        <f t="shared" si="7"/>
        <v>3</v>
      </c>
      <c r="BY601" s="1256"/>
      <c r="BZ601" s="1256"/>
      <c r="CA601" s="1256"/>
      <c r="CB601" s="1257"/>
      <c r="CC601" s="1255">
        <f t="shared" si="8"/>
        <v>0</v>
      </c>
      <c r="CD601" s="1256"/>
      <c r="CE601" s="1256"/>
      <c r="CF601" s="1256"/>
      <c r="CG601" s="1257"/>
      <c r="CH601" s="1255">
        <f t="shared" si="9"/>
        <v>0</v>
      </c>
      <c r="CI601" s="1256"/>
      <c r="CJ601" s="1256"/>
      <c r="CK601" s="1256"/>
      <c r="CL601" s="1257"/>
      <c r="CM601" s="1255">
        <f t="shared" si="10"/>
        <v>0</v>
      </c>
      <c r="CN601" s="1256"/>
      <c r="CO601" s="1256"/>
      <c r="CP601" s="1256"/>
      <c r="CQ601" s="1257"/>
      <c r="CS601" s="1267">
        <f t="shared" si="15"/>
        <v>0</v>
      </c>
      <c r="CT601" s="1268"/>
      <c r="CU601" s="1268"/>
      <c r="CV601" s="1268"/>
      <c r="CW601" s="1269"/>
      <c r="CX601" s="1267">
        <f t="shared" si="16"/>
        <v>0</v>
      </c>
      <c r="CY601" s="1268"/>
      <c r="CZ601" s="1268"/>
      <c r="DA601" s="1268"/>
      <c r="DB601" s="1269"/>
      <c r="DC601" s="1267">
        <f t="shared" si="17"/>
        <v>0</v>
      </c>
      <c r="DD601" s="1268"/>
      <c r="DE601" s="1268"/>
      <c r="DF601" s="1268"/>
      <c r="DG601" s="1269"/>
      <c r="DH601" s="1267">
        <f t="shared" si="18"/>
        <v>0</v>
      </c>
      <c r="DI601" s="1268"/>
      <c r="DJ601" s="1268"/>
      <c r="DK601" s="1268"/>
      <c r="DL601" s="1269"/>
      <c r="DM601" s="1267">
        <f t="shared" si="19"/>
        <v>0</v>
      </c>
      <c r="DN601" s="1268"/>
      <c r="DO601" s="1268"/>
      <c r="DP601" s="1268"/>
      <c r="DQ601" s="1269"/>
      <c r="DR601" s="1267">
        <f t="shared" si="20"/>
        <v>0</v>
      </c>
      <c r="DS601" s="1268"/>
      <c r="DT601" s="1268"/>
      <c r="DU601" s="1268"/>
      <c r="DV601" s="1269"/>
    </row>
    <row r="602" spans="1:126" ht="12.95"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1">
        <f t="shared" si="13"/>
        <v>0</v>
      </c>
      <c r="BF602" s="1263"/>
      <c r="BG602" s="1255">
        <f t="shared" si="11"/>
        <v>0</v>
      </c>
      <c r="BH602" s="1257"/>
      <c r="BI602" s="1261">
        <f t="shared" si="14"/>
        <v>0</v>
      </c>
      <c r="BJ602" s="1263"/>
      <c r="BK602" s="1255">
        <f t="shared" si="12"/>
        <v>0</v>
      </c>
      <c r="BL602" s="1257"/>
      <c r="BN602" s="1255">
        <f t="shared" si="5"/>
        <v>0</v>
      </c>
      <c r="BO602" s="1256"/>
      <c r="BP602" s="1256"/>
      <c r="BQ602" s="1256"/>
      <c r="BR602" s="1264"/>
      <c r="BS602" s="1255">
        <f t="shared" si="6"/>
        <v>0</v>
      </c>
      <c r="BT602" s="1256"/>
      <c r="BU602" s="1256"/>
      <c r="BV602" s="1256"/>
      <c r="BW602" s="1257"/>
      <c r="BX602" s="1255">
        <f t="shared" si="7"/>
        <v>18</v>
      </c>
      <c r="BY602" s="1256"/>
      <c r="BZ602" s="1256"/>
      <c r="CA602" s="1256"/>
      <c r="CB602" s="1257"/>
      <c r="CC602" s="1255">
        <f t="shared" si="8"/>
        <v>0</v>
      </c>
      <c r="CD602" s="1256"/>
      <c r="CE602" s="1256"/>
      <c r="CF602" s="1256"/>
      <c r="CG602" s="1257"/>
      <c r="CH602" s="1255">
        <f t="shared" si="9"/>
        <v>0</v>
      </c>
      <c r="CI602" s="1256"/>
      <c r="CJ602" s="1256"/>
      <c r="CK602" s="1256"/>
      <c r="CL602" s="1257"/>
      <c r="CM602" s="1255">
        <f t="shared" si="10"/>
        <v>0</v>
      </c>
      <c r="CN602" s="1256"/>
      <c r="CO602" s="1256"/>
      <c r="CP602" s="1256"/>
      <c r="CQ602" s="1257"/>
      <c r="CS602" s="1267">
        <f t="shared" si="15"/>
        <v>0</v>
      </c>
      <c r="CT602" s="1268"/>
      <c r="CU602" s="1268"/>
      <c r="CV602" s="1268"/>
      <c r="CW602" s="1269"/>
      <c r="CX602" s="1267">
        <f t="shared" si="16"/>
        <v>0</v>
      </c>
      <c r="CY602" s="1268"/>
      <c r="CZ602" s="1268"/>
      <c r="DA602" s="1268"/>
      <c r="DB602" s="1269"/>
      <c r="DC602" s="1267">
        <f t="shared" si="17"/>
        <v>0</v>
      </c>
      <c r="DD602" s="1268"/>
      <c r="DE602" s="1268"/>
      <c r="DF602" s="1268"/>
      <c r="DG602" s="1269"/>
      <c r="DH602" s="1267">
        <f t="shared" si="18"/>
        <v>0</v>
      </c>
      <c r="DI602" s="1268"/>
      <c r="DJ602" s="1268"/>
      <c r="DK602" s="1268"/>
      <c r="DL602" s="1269"/>
      <c r="DM602" s="1267">
        <f t="shared" si="19"/>
        <v>0</v>
      </c>
      <c r="DN602" s="1268"/>
      <c r="DO602" s="1268"/>
      <c r="DP602" s="1268"/>
      <c r="DQ602" s="1269"/>
      <c r="DR602" s="1267">
        <f t="shared" si="20"/>
        <v>0</v>
      </c>
      <c r="DS602" s="1268"/>
      <c r="DT602" s="1268"/>
      <c r="DU602" s="1268"/>
      <c r="DV602" s="1269"/>
    </row>
    <row r="603" spans="1:126" ht="12.95" customHeight="1">
      <c r="B603" t="s">
        <v>873</v>
      </c>
      <c r="G603" s="1233"/>
      <c r="H603" s="1233"/>
      <c r="I603" s="1233"/>
      <c r="J603" s="1233"/>
      <c r="K603" s="1233"/>
      <c r="L603" s="1233"/>
      <c r="M603" s="1233"/>
      <c r="N603" s="1233"/>
      <c r="O603" s="1233"/>
      <c r="P603" s="1233"/>
      <c r="Q603" s="1233"/>
      <c r="R603" s="1233"/>
      <c r="U603" t="s">
        <v>873</v>
      </c>
      <c r="Z603" s="1235"/>
      <c r="AA603" s="1235"/>
      <c r="AB603" s="1235"/>
      <c r="AC603" s="1235"/>
      <c r="AD603" s="1235"/>
      <c r="AE603" s="1235"/>
      <c r="AF603" s="1235"/>
      <c r="AG603" s="1235"/>
      <c r="AH603" s="1235"/>
      <c r="AI603" s="1235"/>
      <c r="AJ603" s="1235"/>
      <c r="AK603" s="1235"/>
      <c r="AL603" s="306"/>
      <c r="BA603" s="41"/>
      <c r="BB603" s="41"/>
      <c r="BC603" s="41"/>
      <c r="BD603" s="41"/>
      <c r="BE603" s="1261">
        <f t="shared" si="13"/>
        <v>0</v>
      </c>
      <c r="BF603" s="1263"/>
      <c r="BG603" s="1255">
        <f t="shared" si="11"/>
        <v>0</v>
      </c>
      <c r="BH603" s="1257"/>
      <c r="BI603" s="1261">
        <f t="shared" si="14"/>
        <v>0</v>
      </c>
      <c r="BJ603" s="1263"/>
      <c r="BK603" s="1255">
        <f t="shared" si="12"/>
        <v>0</v>
      </c>
      <c r="BL603" s="1257"/>
      <c r="BN603" s="1255">
        <f t="shared" si="5"/>
        <v>0</v>
      </c>
      <c r="BO603" s="1256"/>
      <c r="BP603" s="1256"/>
      <c r="BQ603" s="1256"/>
      <c r="BR603" s="1264"/>
      <c r="BS603" s="1255">
        <f t="shared" si="6"/>
        <v>0</v>
      </c>
      <c r="BT603" s="1256"/>
      <c r="BU603" s="1256"/>
      <c r="BV603" s="1256"/>
      <c r="BW603" s="1257"/>
      <c r="BX603" s="1255">
        <f t="shared" si="7"/>
        <v>0</v>
      </c>
      <c r="BY603" s="1256"/>
      <c r="BZ603" s="1256"/>
      <c r="CA603" s="1256"/>
      <c r="CB603" s="1257"/>
      <c r="CC603" s="1255">
        <f t="shared" si="8"/>
        <v>1</v>
      </c>
      <c r="CD603" s="1256"/>
      <c r="CE603" s="1256"/>
      <c r="CF603" s="1256"/>
      <c r="CG603" s="1257"/>
      <c r="CH603" s="1255">
        <f t="shared" si="9"/>
        <v>0</v>
      </c>
      <c r="CI603" s="1256"/>
      <c r="CJ603" s="1256"/>
      <c r="CK603" s="1256"/>
      <c r="CL603" s="1257"/>
      <c r="CM603" s="1255">
        <f t="shared" si="10"/>
        <v>0</v>
      </c>
      <c r="CN603" s="1256"/>
      <c r="CO603" s="1256"/>
      <c r="CP603" s="1256"/>
      <c r="CQ603" s="1257"/>
      <c r="CS603" s="1267">
        <f t="shared" si="15"/>
        <v>0</v>
      </c>
      <c r="CT603" s="1268"/>
      <c r="CU603" s="1268"/>
      <c r="CV603" s="1268"/>
      <c r="CW603" s="1269"/>
      <c r="CX603" s="1267">
        <f t="shared" si="16"/>
        <v>0</v>
      </c>
      <c r="CY603" s="1268"/>
      <c r="CZ603" s="1268"/>
      <c r="DA603" s="1268"/>
      <c r="DB603" s="1269"/>
      <c r="DC603" s="1267">
        <f t="shared" si="17"/>
        <v>0</v>
      </c>
      <c r="DD603" s="1268"/>
      <c r="DE603" s="1268"/>
      <c r="DF603" s="1268"/>
      <c r="DG603" s="1269"/>
      <c r="DH603" s="1267">
        <f t="shared" si="18"/>
        <v>0</v>
      </c>
      <c r="DI603" s="1268"/>
      <c r="DJ603" s="1268"/>
      <c r="DK603" s="1268"/>
      <c r="DL603" s="1269"/>
      <c r="DM603" s="1267">
        <f t="shared" si="19"/>
        <v>0</v>
      </c>
      <c r="DN603" s="1268"/>
      <c r="DO603" s="1268"/>
      <c r="DP603" s="1268"/>
      <c r="DQ603" s="1269"/>
      <c r="DR603" s="1267">
        <f t="shared" si="20"/>
        <v>0</v>
      </c>
      <c r="DS603" s="1268"/>
      <c r="DT603" s="1268"/>
      <c r="DU603" s="1268"/>
      <c r="DV603" s="1269"/>
    </row>
    <row r="604" spans="1:126" ht="12.95" customHeight="1">
      <c r="B604" t="s">
        <v>685</v>
      </c>
      <c r="G604" s="1234"/>
      <c r="H604" s="1234"/>
      <c r="I604" s="1234"/>
      <c r="J604" s="1234"/>
      <c r="K604" s="1234"/>
      <c r="L604" s="1234"/>
      <c r="O604" s="42" t="s">
        <v>858</v>
      </c>
      <c r="P604" s="1231"/>
      <c r="Q604" s="1231"/>
      <c r="R604" s="1231"/>
      <c r="U604" t="s">
        <v>685</v>
      </c>
      <c r="Z604" s="1234"/>
      <c r="AA604" s="1234"/>
      <c r="AB604" s="1234"/>
      <c r="AC604" s="1234"/>
      <c r="AD604" s="1234"/>
      <c r="AE604" s="1234"/>
      <c r="AH604" s="42" t="s">
        <v>858</v>
      </c>
      <c r="AI604" s="1231"/>
      <c r="AJ604" s="1231"/>
      <c r="AK604" s="1231"/>
      <c r="AZ604" s="41"/>
      <c r="BA604" s="41"/>
      <c r="BB604" s="41"/>
      <c r="BC604" s="41"/>
      <c r="BD604" s="41"/>
      <c r="BE604" s="1261">
        <f t="shared" si="13"/>
        <v>0</v>
      </c>
      <c r="BF604" s="1263"/>
      <c r="BG604" s="1255">
        <f t="shared" si="11"/>
        <v>0</v>
      </c>
      <c r="BH604" s="1257"/>
      <c r="BI604" s="1261">
        <f t="shared" si="14"/>
        <v>1</v>
      </c>
      <c r="BJ604" s="1263"/>
      <c r="BK604" s="1255">
        <f t="shared" si="12"/>
        <v>1</v>
      </c>
      <c r="BL604" s="1257"/>
      <c r="BN604" s="1255">
        <f t="shared" si="5"/>
        <v>0</v>
      </c>
      <c r="BO604" s="1256"/>
      <c r="BP604" s="1256"/>
      <c r="BQ604" s="1256"/>
      <c r="BR604" s="1264"/>
      <c r="BS604" s="1255">
        <f t="shared" si="6"/>
        <v>0</v>
      </c>
      <c r="BT604" s="1256"/>
      <c r="BU604" s="1256"/>
      <c r="BV604" s="1256"/>
      <c r="BW604" s="1257"/>
      <c r="BX604" s="1255">
        <f t="shared" si="7"/>
        <v>0</v>
      </c>
      <c r="BY604" s="1256"/>
      <c r="BZ604" s="1256"/>
      <c r="CA604" s="1256"/>
      <c r="CB604" s="1257"/>
      <c r="CC604" s="1255">
        <f t="shared" si="8"/>
        <v>1</v>
      </c>
      <c r="CD604" s="1256"/>
      <c r="CE604" s="1256"/>
      <c r="CF604" s="1256"/>
      <c r="CG604" s="1257"/>
      <c r="CH604" s="1255">
        <f t="shared" si="9"/>
        <v>0</v>
      </c>
      <c r="CI604" s="1256"/>
      <c r="CJ604" s="1256"/>
      <c r="CK604" s="1256"/>
      <c r="CL604" s="1257"/>
      <c r="CM604" s="1255">
        <f t="shared" si="10"/>
        <v>0</v>
      </c>
      <c r="CN604" s="1256"/>
      <c r="CO604" s="1256"/>
      <c r="CP604" s="1256"/>
      <c r="CQ604" s="1257"/>
      <c r="CS604" s="1267">
        <f t="shared" si="15"/>
        <v>0</v>
      </c>
      <c r="CT604" s="1268"/>
      <c r="CU604" s="1268"/>
      <c r="CV604" s="1268"/>
      <c r="CW604" s="1269"/>
      <c r="CX604" s="1267">
        <f t="shared" si="16"/>
        <v>0</v>
      </c>
      <c r="CY604" s="1268"/>
      <c r="CZ604" s="1268"/>
      <c r="DA604" s="1268"/>
      <c r="DB604" s="1269"/>
      <c r="DC604" s="1267">
        <f t="shared" si="17"/>
        <v>0</v>
      </c>
      <c r="DD604" s="1268"/>
      <c r="DE604" s="1268"/>
      <c r="DF604" s="1268"/>
      <c r="DG604" s="1269"/>
      <c r="DH604" s="1267">
        <f t="shared" si="18"/>
        <v>1</v>
      </c>
      <c r="DI604" s="1268"/>
      <c r="DJ604" s="1268"/>
      <c r="DK604" s="1268"/>
      <c r="DL604" s="1269"/>
      <c r="DM604" s="1267">
        <f t="shared" si="19"/>
        <v>0</v>
      </c>
      <c r="DN604" s="1268"/>
      <c r="DO604" s="1268"/>
      <c r="DP604" s="1268"/>
      <c r="DQ604" s="1269"/>
      <c r="DR604" s="1267">
        <f t="shared" si="20"/>
        <v>0</v>
      </c>
      <c r="DS604" s="1268"/>
      <c r="DT604" s="1268"/>
      <c r="DU604" s="1268"/>
      <c r="DV604" s="1269"/>
    </row>
    <row r="605" spans="1:126" ht="12.95"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1">
        <f t="shared" si="13"/>
        <v>1</v>
      </c>
      <c r="BF605" s="1263"/>
      <c r="BG605" s="1255">
        <f t="shared" si="11"/>
        <v>1</v>
      </c>
      <c r="BH605" s="1257"/>
      <c r="BI605" s="1261">
        <f t="shared" si="14"/>
        <v>0</v>
      </c>
      <c r="BJ605" s="1263"/>
      <c r="BK605" s="1255">
        <f t="shared" si="12"/>
        <v>0</v>
      </c>
      <c r="BL605" s="1257"/>
      <c r="BN605" s="1255">
        <f t="shared" si="5"/>
        <v>0</v>
      </c>
      <c r="BO605" s="1256"/>
      <c r="BP605" s="1256"/>
      <c r="BQ605" s="1256"/>
      <c r="BR605" s="1264"/>
      <c r="BS605" s="1255">
        <f t="shared" si="6"/>
        <v>0</v>
      </c>
      <c r="BT605" s="1256"/>
      <c r="BU605" s="1256"/>
      <c r="BV605" s="1256"/>
      <c r="BW605" s="1257"/>
      <c r="BX605" s="1255">
        <f t="shared" si="7"/>
        <v>0</v>
      </c>
      <c r="BY605" s="1256"/>
      <c r="BZ605" s="1256"/>
      <c r="CA605" s="1256"/>
      <c r="CB605" s="1257"/>
      <c r="CC605" s="1255">
        <f t="shared" si="8"/>
        <v>0</v>
      </c>
      <c r="CD605" s="1256"/>
      <c r="CE605" s="1256"/>
      <c r="CF605" s="1256"/>
      <c r="CG605" s="1257"/>
      <c r="CH605" s="1255">
        <f t="shared" si="9"/>
        <v>0</v>
      </c>
      <c r="CI605" s="1256"/>
      <c r="CJ605" s="1256"/>
      <c r="CK605" s="1256"/>
      <c r="CL605" s="1257"/>
      <c r="CM605" s="1255">
        <f t="shared" si="10"/>
        <v>0</v>
      </c>
      <c r="CN605" s="1256"/>
      <c r="CO605" s="1256"/>
      <c r="CP605" s="1256"/>
      <c r="CQ605" s="1257"/>
      <c r="CS605" s="1267">
        <f t="shared" si="15"/>
        <v>0</v>
      </c>
      <c r="CT605" s="1268"/>
      <c r="CU605" s="1268"/>
      <c r="CV605" s="1268"/>
      <c r="CW605" s="1269"/>
      <c r="CX605" s="1267">
        <f t="shared" si="16"/>
        <v>0</v>
      </c>
      <c r="CY605" s="1268"/>
      <c r="CZ605" s="1268"/>
      <c r="DA605" s="1268"/>
      <c r="DB605" s="1269"/>
      <c r="DC605" s="1267">
        <f t="shared" si="17"/>
        <v>0</v>
      </c>
      <c r="DD605" s="1268"/>
      <c r="DE605" s="1268"/>
      <c r="DF605" s="1268"/>
      <c r="DG605" s="1269"/>
      <c r="DH605" s="1267">
        <f t="shared" si="18"/>
        <v>0</v>
      </c>
      <c r="DI605" s="1268"/>
      <c r="DJ605" s="1268"/>
      <c r="DK605" s="1268"/>
      <c r="DL605" s="1269"/>
      <c r="DM605" s="1267">
        <f t="shared" si="19"/>
        <v>0</v>
      </c>
      <c r="DN605" s="1268"/>
      <c r="DO605" s="1268"/>
      <c r="DP605" s="1268"/>
      <c r="DQ605" s="1269"/>
      <c r="DR605" s="1267">
        <f t="shared" si="20"/>
        <v>0</v>
      </c>
      <c r="DS605" s="1268"/>
      <c r="DT605" s="1268"/>
      <c r="DU605" s="1268"/>
      <c r="DV605" s="1269"/>
    </row>
    <row r="606" spans="1:126" ht="12.95" customHeight="1">
      <c r="B606" t="s">
        <v>876</v>
      </c>
      <c r="N606" s="1232" t="s">
        <v>511</v>
      </c>
      <c r="O606" s="1232"/>
      <c r="U606" t="s">
        <v>876</v>
      </c>
      <c r="AG606" s="1232" t="s">
        <v>511</v>
      </c>
      <c r="AH606" s="1232"/>
      <c r="AZ606" s="41"/>
      <c r="BA606" s="41"/>
      <c r="BB606" s="41"/>
      <c r="BC606" s="41"/>
      <c r="BD606" s="41"/>
      <c r="BE606" s="1261">
        <f t="shared" si="13"/>
        <v>0</v>
      </c>
      <c r="BF606" s="1263"/>
      <c r="BG606" s="1255">
        <f t="shared" si="11"/>
        <v>0</v>
      </c>
      <c r="BH606" s="1257"/>
      <c r="BI606" s="1261">
        <f t="shared" si="14"/>
        <v>0</v>
      </c>
      <c r="BJ606" s="1263"/>
      <c r="BK606" s="1255">
        <f t="shared" si="12"/>
        <v>0</v>
      </c>
      <c r="BL606" s="1257"/>
      <c r="BN606" s="1255">
        <f t="shared" si="5"/>
        <v>0</v>
      </c>
      <c r="BO606" s="1256"/>
      <c r="BP606" s="1256"/>
      <c r="BQ606" s="1256"/>
      <c r="BR606" s="1264"/>
      <c r="BS606" s="1255">
        <f t="shared" si="6"/>
        <v>0</v>
      </c>
      <c r="BT606" s="1256"/>
      <c r="BU606" s="1256"/>
      <c r="BV606" s="1256"/>
      <c r="BW606" s="1257"/>
      <c r="BX606" s="1255">
        <f t="shared" si="7"/>
        <v>0</v>
      </c>
      <c r="BY606" s="1256"/>
      <c r="BZ606" s="1256"/>
      <c r="CA606" s="1256"/>
      <c r="CB606" s="1257"/>
      <c r="CC606" s="1255">
        <f t="shared" si="8"/>
        <v>0</v>
      </c>
      <c r="CD606" s="1256"/>
      <c r="CE606" s="1256"/>
      <c r="CF606" s="1256"/>
      <c r="CG606" s="1257"/>
      <c r="CH606" s="1255">
        <f t="shared" si="9"/>
        <v>0</v>
      </c>
      <c r="CI606" s="1256"/>
      <c r="CJ606" s="1256"/>
      <c r="CK606" s="1256"/>
      <c r="CL606" s="1257"/>
      <c r="CM606" s="1255">
        <f t="shared" si="10"/>
        <v>0</v>
      </c>
      <c r="CN606" s="1256"/>
      <c r="CO606" s="1256"/>
      <c r="CP606" s="1256"/>
      <c r="CQ606" s="1257"/>
      <c r="CS606" s="1267">
        <f t="shared" si="15"/>
        <v>0</v>
      </c>
      <c r="CT606" s="1268"/>
      <c r="CU606" s="1268"/>
      <c r="CV606" s="1268"/>
      <c r="CW606" s="1269"/>
      <c r="CX606" s="1267">
        <f t="shared" si="16"/>
        <v>0</v>
      </c>
      <c r="CY606" s="1268"/>
      <c r="CZ606" s="1268"/>
      <c r="DA606" s="1268"/>
      <c r="DB606" s="1269"/>
      <c r="DC606" s="1267">
        <f t="shared" si="17"/>
        <v>0</v>
      </c>
      <c r="DD606" s="1268"/>
      <c r="DE606" s="1268"/>
      <c r="DF606" s="1268"/>
      <c r="DG606" s="1269"/>
      <c r="DH606" s="1267">
        <f t="shared" si="18"/>
        <v>0</v>
      </c>
      <c r="DI606" s="1268"/>
      <c r="DJ606" s="1268"/>
      <c r="DK606" s="1268"/>
      <c r="DL606" s="1269"/>
      <c r="DM606" s="1267">
        <f t="shared" si="19"/>
        <v>0</v>
      </c>
      <c r="DN606" s="1268"/>
      <c r="DO606" s="1268"/>
      <c r="DP606" s="1268"/>
      <c r="DQ606" s="1269"/>
      <c r="DR606" s="1267">
        <f t="shared" si="20"/>
        <v>0</v>
      </c>
      <c r="DS606" s="1268"/>
      <c r="DT606" s="1268"/>
      <c r="DU606" s="1268"/>
      <c r="DV606" s="1269"/>
    </row>
    <row r="607" spans="1:126" ht="12.95" customHeight="1">
      <c r="AZ607" s="41"/>
      <c r="BA607" s="41"/>
      <c r="BB607" s="41"/>
      <c r="BC607" s="41"/>
      <c r="BD607" s="41"/>
      <c r="BE607" s="1261">
        <f t="shared" si="13"/>
        <v>0</v>
      </c>
      <c r="BF607" s="1263"/>
      <c r="BG607" s="1255">
        <f t="shared" si="11"/>
        <v>0</v>
      </c>
      <c r="BH607" s="1257"/>
      <c r="BI607" s="1261">
        <f t="shared" si="14"/>
        <v>0</v>
      </c>
      <c r="BJ607" s="1263"/>
      <c r="BK607" s="1255">
        <f t="shared" si="12"/>
        <v>0</v>
      </c>
      <c r="BL607" s="1257"/>
      <c r="BN607" s="1255">
        <f t="shared" si="5"/>
        <v>0</v>
      </c>
      <c r="BO607" s="1256"/>
      <c r="BP607" s="1256"/>
      <c r="BQ607" s="1256"/>
      <c r="BR607" s="1264"/>
      <c r="BS607" s="1255">
        <f t="shared" si="6"/>
        <v>0</v>
      </c>
      <c r="BT607" s="1256"/>
      <c r="BU607" s="1256"/>
      <c r="BV607" s="1256"/>
      <c r="BW607" s="1257"/>
      <c r="BX607" s="1255">
        <f t="shared" si="7"/>
        <v>0</v>
      </c>
      <c r="BY607" s="1256"/>
      <c r="BZ607" s="1256"/>
      <c r="CA607" s="1256"/>
      <c r="CB607" s="1257"/>
      <c r="CC607" s="1255">
        <f t="shared" si="8"/>
        <v>0</v>
      </c>
      <c r="CD607" s="1256"/>
      <c r="CE607" s="1256"/>
      <c r="CF607" s="1256"/>
      <c r="CG607" s="1257"/>
      <c r="CH607" s="1255">
        <f t="shared" si="9"/>
        <v>0</v>
      </c>
      <c r="CI607" s="1256"/>
      <c r="CJ607" s="1256"/>
      <c r="CK607" s="1256"/>
      <c r="CL607" s="1257"/>
      <c r="CM607" s="1255">
        <f t="shared" si="10"/>
        <v>0</v>
      </c>
      <c r="CN607" s="1256"/>
      <c r="CO607" s="1256"/>
      <c r="CP607" s="1256"/>
      <c r="CQ607" s="1257"/>
      <c r="CS607" s="1267">
        <f t="shared" si="15"/>
        <v>0</v>
      </c>
      <c r="CT607" s="1268"/>
      <c r="CU607" s="1268"/>
      <c r="CV607" s="1268"/>
      <c r="CW607" s="1269"/>
      <c r="CX607" s="1267">
        <f t="shared" si="16"/>
        <v>0</v>
      </c>
      <c r="CY607" s="1268"/>
      <c r="CZ607" s="1268"/>
      <c r="DA607" s="1268"/>
      <c r="DB607" s="1269"/>
      <c r="DC607" s="1267">
        <f t="shared" si="17"/>
        <v>0</v>
      </c>
      <c r="DD607" s="1268"/>
      <c r="DE607" s="1268"/>
      <c r="DF607" s="1268"/>
      <c r="DG607" s="1269"/>
      <c r="DH607" s="1267">
        <f t="shared" si="18"/>
        <v>0</v>
      </c>
      <c r="DI607" s="1268"/>
      <c r="DJ607" s="1268"/>
      <c r="DK607" s="1268"/>
      <c r="DL607" s="1269"/>
      <c r="DM607" s="1267">
        <f t="shared" si="19"/>
        <v>0</v>
      </c>
      <c r="DN607" s="1268"/>
      <c r="DO607" s="1268"/>
      <c r="DP607" s="1268"/>
      <c r="DQ607" s="1269"/>
      <c r="DR607" s="1267">
        <f t="shared" si="20"/>
        <v>0</v>
      </c>
      <c r="DS607" s="1268"/>
      <c r="DT607" s="1268"/>
      <c r="DU607" s="1268"/>
      <c r="DV607" s="1269"/>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1">
        <f t="shared" si="13"/>
        <v>0</v>
      </c>
      <c r="BF608" s="1263"/>
      <c r="BG608" s="1255">
        <f t="shared" si="11"/>
        <v>0</v>
      </c>
      <c r="BH608" s="1257"/>
      <c r="BI608" s="1261">
        <f t="shared" si="14"/>
        <v>0</v>
      </c>
      <c r="BJ608" s="1263"/>
      <c r="BK608" s="1255">
        <f t="shared" si="12"/>
        <v>0</v>
      </c>
      <c r="BL608" s="1257"/>
      <c r="BN608" s="1255">
        <f t="shared" si="5"/>
        <v>0</v>
      </c>
      <c r="BO608" s="1256"/>
      <c r="BP608" s="1256"/>
      <c r="BQ608" s="1256"/>
      <c r="BR608" s="1264"/>
      <c r="BS608" s="1255">
        <f t="shared" si="6"/>
        <v>0</v>
      </c>
      <c r="BT608" s="1256"/>
      <c r="BU608" s="1256"/>
      <c r="BV608" s="1256"/>
      <c r="BW608" s="1257"/>
      <c r="BX608" s="1255">
        <f t="shared" si="7"/>
        <v>0</v>
      </c>
      <c r="BY608" s="1256"/>
      <c r="BZ608" s="1256"/>
      <c r="CA608" s="1256"/>
      <c r="CB608" s="1257"/>
      <c r="CC608" s="1255">
        <f t="shared" si="8"/>
        <v>0</v>
      </c>
      <c r="CD608" s="1256"/>
      <c r="CE608" s="1256"/>
      <c r="CF608" s="1256"/>
      <c r="CG608" s="1257"/>
      <c r="CH608" s="1255">
        <f t="shared" si="9"/>
        <v>0</v>
      </c>
      <c r="CI608" s="1256"/>
      <c r="CJ608" s="1256"/>
      <c r="CK608" s="1256"/>
      <c r="CL608" s="1257"/>
      <c r="CM608" s="1255">
        <f t="shared" si="10"/>
        <v>0</v>
      </c>
      <c r="CN608" s="1256"/>
      <c r="CO608" s="1256"/>
      <c r="CP608" s="1256"/>
      <c r="CQ608" s="1257"/>
      <c r="CS608" s="1267">
        <f t="shared" si="15"/>
        <v>0</v>
      </c>
      <c r="CT608" s="1268"/>
      <c r="CU608" s="1268"/>
      <c r="CV608" s="1268"/>
      <c r="CW608" s="1269"/>
      <c r="CX608" s="1267">
        <f t="shared" si="16"/>
        <v>0</v>
      </c>
      <c r="CY608" s="1268"/>
      <c r="CZ608" s="1268"/>
      <c r="DA608" s="1268"/>
      <c r="DB608" s="1269"/>
      <c r="DC608" s="1267">
        <f t="shared" si="17"/>
        <v>0</v>
      </c>
      <c r="DD608" s="1268"/>
      <c r="DE608" s="1268"/>
      <c r="DF608" s="1268"/>
      <c r="DG608" s="1269"/>
      <c r="DH608" s="1267">
        <f t="shared" si="18"/>
        <v>0</v>
      </c>
      <c r="DI608" s="1268"/>
      <c r="DJ608" s="1268"/>
      <c r="DK608" s="1268"/>
      <c r="DL608" s="1269"/>
      <c r="DM608" s="1267">
        <f t="shared" si="19"/>
        <v>0</v>
      </c>
      <c r="DN608" s="1268"/>
      <c r="DO608" s="1268"/>
      <c r="DP608" s="1268"/>
      <c r="DQ608" s="1269"/>
      <c r="DR608" s="1267">
        <f t="shared" si="20"/>
        <v>0</v>
      </c>
      <c r="DS608" s="1268"/>
      <c r="DT608" s="1268"/>
      <c r="DU608" s="1268"/>
      <c r="DV608" s="1269"/>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1">
        <f t="shared" si="13"/>
        <v>0</v>
      </c>
      <c r="BF609" s="1263"/>
      <c r="BG609" s="1255">
        <f t="shared" si="11"/>
        <v>0</v>
      </c>
      <c r="BH609" s="1257"/>
      <c r="BI609" s="1261">
        <f t="shared" si="14"/>
        <v>0</v>
      </c>
      <c r="BJ609" s="1263"/>
      <c r="BK609" s="1255">
        <f t="shared" si="12"/>
        <v>0</v>
      </c>
      <c r="BL609" s="1257"/>
      <c r="BN609" s="1255">
        <f t="shared" si="5"/>
        <v>0</v>
      </c>
      <c r="BO609" s="1256"/>
      <c r="BP609" s="1256"/>
      <c r="BQ609" s="1256"/>
      <c r="BR609" s="1264"/>
      <c r="BS609" s="1255">
        <f t="shared" si="6"/>
        <v>0</v>
      </c>
      <c r="BT609" s="1256"/>
      <c r="BU609" s="1256"/>
      <c r="BV609" s="1256"/>
      <c r="BW609" s="1257"/>
      <c r="BX609" s="1255">
        <f t="shared" si="7"/>
        <v>0</v>
      </c>
      <c r="BY609" s="1256"/>
      <c r="BZ609" s="1256"/>
      <c r="CA609" s="1256"/>
      <c r="CB609" s="1257"/>
      <c r="CC609" s="1255">
        <f t="shared" si="8"/>
        <v>0</v>
      </c>
      <c r="CD609" s="1256"/>
      <c r="CE609" s="1256"/>
      <c r="CF609" s="1256"/>
      <c r="CG609" s="1257"/>
      <c r="CH609" s="1255">
        <f t="shared" si="9"/>
        <v>0</v>
      </c>
      <c r="CI609" s="1256"/>
      <c r="CJ609" s="1256"/>
      <c r="CK609" s="1256"/>
      <c r="CL609" s="1257"/>
      <c r="CM609" s="1255">
        <f t="shared" si="10"/>
        <v>0</v>
      </c>
      <c r="CN609" s="1256"/>
      <c r="CO609" s="1256"/>
      <c r="CP609" s="1256"/>
      <c r="CQ609" s="1257"/>
      <c r="CS609" s="1267">
        <f t="shared" si="15"/>
        <v>0</v>
      </c>
      <c r="CT609" s="1268"/>
      <c r="CU609" s="1268"/>
      <c r="CV609" s="1268"/>
      <c r="CW609" s="1269"/>
      <c r="CX609" s="1267">
        <f t="shared" si="16"/>
        <v>0</v>
      </c>
      <c r="CY609" s="1268"/>
      <c r="CZ609" s="1268"/>
      <c r="DA609" s="1268"/>
      <c r="DB609" s="1269"/>
      <c r="DC609" s="1267">
        <f t="shared" si="17"/>
        <v>0</v>
      </c>
      <c r="DD609" s="1268"/>
      <c r="DE609" s="1268"/>
      <c r="DF609" s="1268"/>
      <c r="DG609" s="1269"/>
      <c r="DH609" s="1267">
        <f t="shared" si="18"/>
        <v>0</v>
      </c>
      <c r="DI609" s="1268"/>
      <c r="DJ609" s="1268"/>
      <c r="DK609" s="1268"/>
      <c r="DL609" s="1269"/>
      <c r="DM609" s="1267">
        <f t="shared" si="19"/>
        <v>0</v>
      </c>
      <c r="DN609" s="1268"/>
      <c r="DO609" s="1268"/>
      <c r="DP609" s="1268"/>
      <c r="DQ609" s="1269"/>
      <c r="DR609" s="1267">
        <f t="shared" si="20"/>
        <v>0</v>
      </c>
      <c r="DS609" s="1268"/>
      <c r="DT609" s="1268"/>
      <c r="DU609" s="1268"/>
      <c r="DV609" s="1269"/>
    </row>
    <row r="610" spans="1:126" ht="12.95" customHeight="1">
      <c r="AZ610" s="41"/>
      <c r="BA610" s="41"/>
      <c r="BB610" s="41"/>
      <c r="BC610" s="41"/>
      <c r="BD610" s="41"/>
      <c r="BE610" s="1261">
        <f t="shared" si="13"/>
        <v>0</v>
      </c>
      <c r="BF610" s="1263"/>
      <c r="BG610" s="1255">
        <f t="shared" si="11"/>
        <v>0</v>
      </c>
      <c r="BH610" s="1257"/>
      <c r="BI610" s="1261">
        <f t="shared" si="14"/>
        <v>0</v>
      </c>
      <c r="BJ610" s="1263"/>
      <c r="BK610" s="1255">
        <f t="shared" si="12"/>
        <v>0</v>
      </c>
      <c r="BL610" s="1257"/>
      <c r="BN610" s="1255">
        <f t="shared" si="5"/>
        <v>0</v>
      </c>
      <c r="BO610" s="1256"/>
      <c r="BP610" s="1256"/>
      <c r="BQ610" s="1256"/>
      <c r="BR610" s="1264"/>
      <c r="BS610" s="1255">
        <f t="shared" si="6"/>
        <v>0</v>
      </c>
      <c r="BT610" s="1256"/>
      <c r="BU610" s="1256"/>
      <c r="BV610" s="1256"/>
      <c r="BW610" s="1257"/>
      <c r="BX610" s="1255">
        <f t="shared" si="7"/>
        <v>0</v>
      </c>
      <c r="BY610" s="1256"/>
      <c r="BZ610" s="1256"/>
      <c r="CA610" s="1256"/>
      <c r="CB610" s="1257"/>
      <c r="CC610" s="1255">
        <f t="shared" si="8"/>
        <v>0</v>
      </c>
      <c r="CD610" s="1256"/>
      <c r="CE610" s="1256"/>
      <c r="CF610" s="1256"/>
      <c r="CG610" s="1257"/>
      <c r="CH610" s="1255">
        <f t="shared" si="9"/>
        <v>0</v>
      </c>
      <c r="CI610" s="1256"/>
      <c r="CJ610" s="1256"/>
      <c r="CK610" s="1256"/>
      <c r="CL610" s="1257"/>
      <c r="CM610" s="1255">
        <f t="shared" si="10"/>
        <v>0</v>
      </c>
      <c r="CN610" s="1256"/>
      <c r="CO610" s="1256"/>
      <c r="CP610" s="1256"/>
      <c r="CQ610" s="1257"/>
      <c r="CS610" s="1267">
        <f t="shared" si="15"/>
        <v>0</v>
      </c>
      <c r="CT610" s="1268"/>
      <c r="CU610" s="1268"/>
      <c r="CV610" s="1268"/>
      <c r="CW610" s="1269"/>
      <c r="CX610" s="1267">
        <f t="shared" si="16"/>
        <v>0</v>
      </c>
      <c r="CY610" s="1268"/>
      <c r="CZ610" s="1268"/>
      <c r="DA610" s="1268"/>
      <c r="DB610" s="1269"/>
      <c r="DC610" s="1267">
        <f t="shared" si="17"/>
        <v>0</v>
      </c>
      <c r="DD610" s="1268"/>
      <c r="DE610" s="1268"/>
      <c r="DF610" s="1268"/>
      <c r="DG610" s="1269"/>
      <c r="DH610" s="1267">
        <f t="shared" si="18"/>
        <v>0</v>
      </c>
      <c r="DI610" s="1268"/>
      <c r="DJ610" s="1268"/>
      <c r="DK610" s="1268"/>
      <c r="DL610" s="1269"/>
      <c r="DM610" s="1267">
        <f t="shared" si="19"/>
        <v>0</v>
      </c>
      <c r="DN610" s="1268"/>
      <c r="DO610" s="1268"/>
      <c r="DP610" s="1268"/>
      <c r="DQ610" s="1269"/>
      <c r="DR610" s="1267">
        <f t="shared" si="20"/>
        <v>0</v>
      </c>
      <c r="DS610" s="1268"/>
      <c r="DT610" s="1268"/>
      <c r="DU610" s="1268"/>
      <c r="DV610" s="1269"/>
    </row>
    <row r="611" spans="1:126" ht="12.95" customHeight="1">
      <c r="A611" s="3" t="s">
        <v>688</v>
      </c>
      <c r="B611" s="3"/>
      <c r="C611" s="3" t="s">
        <v>877</v>
      </c>
      <c r="AZ611" s="41"/>
      <c r="BA611" s="41"/>
      <c r="BB611" s="41"/>
      <c r="BC611" s="41"/>
      <c r="BD611" s="41"/>
      <c r="BE611" s="1261">
        <f t="shared" si="13"/>
        <v>0</v>
      </c>
      <c r="BF611" s="1263"/>
      <c r="BG611" s="1255">
        <f t="shared" si="11"/>
        <v>0</v>
      </c>
      <c r="BH611" s="1257"/>
      <c r="BI611" s="1261">
        <f t="shared" si="14"/>
        <v>0</v>
      </c>
      <c r="BJ611" s="1263"/>
      <c r="BK611" s="1255">
        <f t="shared" si="12"/>
        <v>0</v>
      </c>
      <c r="BL611" s="1257"/>
      <c r="BN611" s="1255">
        <f t="shared" si="5"/>
        <v>0</v>
      </c>
      <c r="BO611" s="1256"/>
      <c r="BP611" s="1256"/>
      <c r="BQ611" s="1256"/>
      <c r="BR611" s="1264"/>
      <c r="BS611" s="1255">
        <f t="shared" si="6"/>
        <v>0</v>
      </c>
      <c r="BT611" s="1256"/>
      <c r="BU611" s="1256"/>
      <c r="BV611" s="1256"/>
      <c r="BW611" s="1257"/>
      <c r="BX611" s="1255">
        <f t="shared" si="7"/>
        <v>0</v>
      </c>
      <c r="BY611" s="1256"/>
      <c r="BZ611" s="1256"/>
      <c r="CA611" s="1256"/>
      <c r="CB611" s="1257"/>
      <c r="CC611" s="1255">
        <f t="shared" si="8"/>
        <v>0</v>
      </c>
      <c r="CD611" s="1256"/>
      <c r="CE611" s="1256"/>
      <c r="CF611" s="1256"/>
      <c r="CG611" s="1257"/>
      <c r="CH611" s="1255">
        <f t="shared" si="9"/>
        <v>0</v>
      </c>
      <c r="CI611" s="1256"/>
      <c r="CJ611" s="1256"/>
      <c r="CK611" s="1256"/>
      <c r="CL611" s="1257"/>
      <c r="CM611" s="1255">
        <f t="shared" si="10"/>
        <v>0</v>
      </c>
      <c r="CN611" s="1256"/>
      <c r="CO611" s="1256"/>
      <c r="CP611" s="1256"/>
      <c r="CQ611" s="1257"/>
      <c r="CS611" s="1267">
        <f t="shared" si="15"/>
        <v>0</v>
      </c>
      <c r="CT611" s="1268"/>
      <c r="CU611" s="1268"/>
      <c r="CV611" s="1268"/>
      <c r="CW611" s="1269"/>
      <c r="CX611" s="1267">
        <f t="shared" si="16"/>
        <v>0</v>
      </c>
      <c r="CY611" s="1268"/>
      <c r="CZ611" s="1268"/>
      <c r="DA611" s="1268"/>
      <c r="DB611" s="1269"/>
      <c r="DC611" s="1267">
        <f t="shared" si="17"/>
        <v>0</v>
      </c>
      <c r="DD611" s="1268"/>
      <c r="DE611" s="1268"/>
      <c r="DF611" s="1268"/>
      <c r="DG611" s="1269"/>
      <c r="DH611" s="1267">
        <f t="shared" si="18"/>
        <v>0</v>
      </c>
      <c r="DI611" s="1268"/>
      <c r="DJ611" s="1268"/>
      <c r="DK611" s="1268"/>
      <c r="DL611" s="1269"/>
      <c r="DM611" s="1267">
        <f t="shared" si="19"/>
        <v>0</v>
      </c>
      <c r="DN611" s="1268"/>
      <c r="DO611" s="1268"/>
      <c r="DP611" s="1268"/>
      <c r="DQ611" s="1269"/>
      <c r="DR611" s="1267">
        <f t="shared" si="20"/>
        <v>0</v>
      </c>
      <c r="DS611" s="1268"/>
      <c r="DT611" s="1268"/>
      <c r="DU611" s="1268"/>
      <c r="DV611" s="1269"/>
    </row>
    <row r="612" spans="1:126" ht="12.95" customHeight="1">
      <c r="A612" s="3"/>
      <c r="B612" s="3"/>
      <c r="C612" s="3"/>
      <c r="AZ612" s="41"/>
      <c r="BA612" s="41"/>
      <c r="BB612" s="41"/>
      <c r="BC612" s="41"/>
      <c r="BD612" s="41"/>
      <c r="BE612" s="1261">
        <f t="shared" si="13"/>
        <v>0</v>
      </c>
      <c r="BF612" s="1263"/>
      <c r="BG612" s="1255">
        <f t="shared" si="11"/>
        <v>0</v>
      </c>
      <c r="BH612" s="1257"/>
      <c r="BI612" s="1261">
        <f t="shared" si="14"/>
        <v>0</v>
      </c>
      <c r="BJ612" s="1263"/>
      <c r="BK612" s="1255">
        <f t="shared" si="12"/>
        <v>0</v>
      </c>
      <c r="BL612" s="1257"/>
      <c r="BN612" s="1255">
        <f t="shared" si="5"/>
        <v>0</v>
      </c>
      <c r="BO612" s="1256"/>
      <c r="BP612" s="1256"/>
      <c r="BQ612" s="1256"/>
      <c r="BR612" s="1264"/>
      <c r="BS612" s="1255">
        <f t="shared" si="6"/>
        <v>0</v>
      </c>
      <c r="BT612" s="1256"/>
      <c r="BU612" s="1256"/>
      <c r="BV612" s="1256"/>
      <c r="BW612" s="1257"/>
      <c r="BX612" s="1255">
        <f t="shared" si="7"/>
        <v>0</v>
      </c>
      <c r="BY612" s="1256"/>
      <c r="BZ612" s="1256"/>
      <c r="CA612" s="1256"/>
      <c r="CB612" s="1257"/>
      <c r="CC612" s="1255">
        <f t="shared" si="8"/>
        <v>0</v>
      </c>
      <c r="CD612" s="1256"/>
      <c r="CE612" s="1256"/>
      <c r="CF612" s="1256"/>
      <c r="CG612" s="1257"/>
      <c r="CH612" s="1255">
        <f t="shared" si="9"/>
        <v>0</v>
      </c>
      <c r="CI612" s="1256"/>
      <c r="CJ612" s="1256"/>
      <c r="CK612" s="1256"/>
      <c r="CL612" s="1257"/>
      <c r="CM612" s="1255">
        <f t="shared" si="10"/>
        <v>0</v>
      </c>
      <c r="CN612" s="1256"/>
      <c r="CO612" s="1256"/>
      <c r="CP612" s="1256"/>
      <c r="CQ612" s="1257"/>
      <c r="CS612" s="1267">
        <f t="shared" si="15"/>
        <v>0</v>
      </c>
      <c r="CT612" s="1268"/>
      <c r="CU612" s="1268"/>
      <c r="CV612" s="1268"/>
      <c r="CW612" s="1269"/>
      <c r="CX612" s="1267">
        <f t="shared" si="16"/>
        <v>0</v>
      </c>
      <c r="CY612" s="1268"/>
      <c r="CZ612" s="1268"/>
      <c r="DA612" s="1268"/>
      <c r="DB612" s="1269"/>
      <c r="DC612" s="1267">
        <f t="shared" si="17"/>
        <v>0</v>
      </c>
      <c r="DD612" s="1268"/>
      <c r="DE612" s="1268"/>
      <c r="DF612" s="1268"/>
      <c r="DG612" s="1269"/>
      <c r="DH612" s="1267">
        <f t="shared" si="18"/>
        <v>0</v>
      </c>
      <c r="DI612" s="1268"/>
      <c r="DJ612" s="1268"/>
      <c r="DK612" s="1268"/>
      <c r="DL612" s="1269"/>
      <c r="DM612" s="1267">
        <f t="shared" si="19"/>
        <v>0</v>
      </c>
      <c r="DN612" s="1268"/>
      <c r="DO612" s="1268"/>
      <c r="DP612" s="1268"/>
      <c r="DQ612" s="1269"/>
      <c r="DR612" s="1267">
        <f t="shared" si="20"/>
        <v>0</v>
      </c>
      <c r="DS612" s="1268"/>
      <c r="DT612" s="1268"/>
      <c r="DU612" s="1268"/>
      <c r="DV612" s="1269"/>
    </row>
    <row r="613" spans="1:126" ht="12.95" customHeight="1">
      <c r="C613" s="3" t="s">
        <v>2254</v>
      </c>
      <c r="AZ613" s="41"/>
      <c r="BA613" s="41"/>
      <c r="BB613" s="41"/>
      <c r="BC613" s="41"/>
      <c r="BD613" s="41"/>
      <c r="BE613" s="1261">
        <f t="shared" si="13"/>
        <v>0</v>
      </c>
      <c r="BF613" s="1263"/>
      <c r="BG613" s="1255">
        <f t="shared" si="11"/>
        <v>0</v>
      </c>
      <c r="BH613" s="1257"/>
      <c r="BI613" s="1261">
        <f t="shared" si="14"/>
        <v>0</v>
      </c>
      <c r="BJ613" s="1263"/>
      <c r="BK613" s="1255">
        <f t="shared" si="12"/>
        <v>0</v>
      </c>
      <c r="BL613" s="1257"/>
      <c r="BN613" s="1261">
        <f>SUM(BN588:BR612)</f>
        <v>2</v>
      </c>
      <c r="BO613" s="1262"/>
      <c r="BP613" s="1262"/>
      <c r="BQ613" s="1262"/>
      <c r="BR613" s="1263"/>
      <c r="BS613" s="1261">
        <f>SUM(BS588:BW612)</f>
        <v>16</v>
      </c>
      <c r="BT613" s="1262"/>
      <c r="BU613" s="1262"/>
      <c r="BV613" s="1262"/>
      <c r="BW613" s="1263"/>
      <c r="BX613" s="1261">
        <f>SUM(BX588:CB612)</f>
        <v>53</v>
      </c>
      <c r="BY613" s="1262"/>
      <c r="BZ613" s="1262"/>
      <c r="CA613" s="1262"/>
      <c r="CB613" s="1263"/>
      <c r="CC613" s="1261">
        <f>SUM(CC588:CG612)</f>
        <v>2</v>
      </c>
      <c r="CD613" s="1262"/>
      <c r="CE613" s="1262"/>
      <c r="CF613" s="1262"/>
      <c r="CG613" s="1263"/>
      <c r="CH613" s="1261">
        <f>SUM(CH588:CL612)</f>
        <v>0</v>
      </c>
      <c r="CI613" s="1262"/>
      <c r="CJ613" s="1262"/>
      <c r="CK613" s="1262"/>
      <c r="CL613" s="1263"/>
      <c r="CM613" s="1261">
        <f>SUM(CM588:CQ612)</f>
        <v>0</v>
      </c>
      <c r="CN613" s="1262"/>
      <c r="CO613" s="1262"/>
      <c r="CP613" s="1262"/>
      <c r="CQ613" s="1263"/>
      <c r="CS613" s="1267">
        <f t="shared" si="15"/>
        <v>0</v>
      </c>
      <c r="CT613" s="1268"/>
      <c r="CU613" s="1268"/>
      <c r="CV613" s="1268"/>
      <c r="CW613" s="1269"/>
      <c r="CX613" s="1267">
        <f t="shared" si="16"/>
        <v>0</v>
      </c>
      <c r="CY613" s="1268"/>
      <c r="CZ613" s="1268"/>
      <c r="DA613" s="1268"/>
      <c r="DB613" s="1269"/>
      <c r="DC613" s="1267">
        <f t="shared" si="17"/>
        <v>0</v>
      </c>
      <c r="DD613" s="1268"/>
      <c r="DE613" s="1268"/>
      <c r="DF613" s="1268"/>
      <c r="DG613" s="1269"/>
      <c r="DH613" s="1267">
        <f t="shared" si="18"/>
        <v>0</v>
      </c>
      <c r="DI613" s="1268"/>
      <c r="DJ613" s="1268"/>
      <c r="DK613" s="1268"/>
      <c r="DL613" s="1269"/>
      <c r="DM613" s="1267">
        <f t="shared" si="19"/>
        <v>0</v>
      </c>
      <c r="DN613" s="1268"/>
      <c r="DO613" s="1268"/>
      <c r="DP613" s="1268"/>
      <c r="DQ613" s="1269"/>
      <c r="DR613" s="1267">
        <f t="shared" si="20"/>
        <v>0</v>
      </c>
      <c r="DS613" s="1268"/>
      <c r="DT613" s="1268"/>
      <c r="DU613" s="1268"/>
      <c r="DV613" s="1269"/>
    </row>
    <row r="614" spans="1:126" ht="12.95" customHeight="1" thickBot="1">
      <c r="B614" s="857"/>
      <c r="C614" s="3"/>
      <c r="AZ614" s="41"/>
      <c r="BA614" s="41"/>
      <c r="BB614" s="41"/>
      <c r="BC614" s="41"/>
      <c r="BD614" s="41"/>
      <c r="BE614" s="41"/>
      <c r="BF614" s="41"/>
      <c r="BG614" s="1261">
        <f>SUM(BG589:BH613)</f>
        <v>36</v>
      </c>
      <c r="BH614" s="1263"/>
      <c r="BI614" s="41"/>
      <c r="BJ614" s="41"/>
      <c r="BK614" s="1261">
        <f>SUM(BK589:BL613)</f>
        <v>11</v>
      </c>
      <c r="BL614" s="1263"/>
      <c r="BN614" s="41" t="s">
        <v>1799</v>
      </c>
      <c r="BO614" s="41"/>
      <c r="BP614" s="41"/>
      <c r="BQ614" s="41"/>
      <c r="BR614" s="478">
        <f>BN613*1</f>
        <v>2</v>
      </c>
      <c r="BS614" s="41"/>
      <c r="BT614" s="41"/>
      <c r="BU614" s="41"/>
      <c r="BV614" s="41"/>
      <c r="BW614" s="478">
        <f>BS613*1</f>
        <v>16</v>
      </c>
      <c r="BX614" s="41"/>
      <c r="BY614" s="41"/>
      <c r="BZ614" s="41"/>
      <c r="CA614" s="41"/>
      <c r="CB614" s="478">
        <f>BX613*2</f>
        <v>106</v>
      </c>
      <c r="CC614" s="41"/>
      <c r="CD614" s="41"/>
      <c r="CE614" s="41"/>
      <c r="CF614" s="41"/>
      <c r="CG614" s="478">
        <f>CC613*3</f>
        <v>6</v>
      </c>
      <c r="CH614" s="41"/>
      <c r="CI614" s="41"/>
      <c r="CJ614" s="41"/>
      <c r="CK614" s="41"/>
      <c r="CL614" s="478">
        <f>CH613*4</f>
        <v>0</v>
      </c>
      <c r="CM614" s="41"/>
      <c r="CN614" s="41"/>
      <c r="CO614" s="41"/>
      <c r="CP614" s="41"/>
      <c r="CQ614" s="477">
        <f>CM613*5</f>
        <v>0</v>
      </c>
      <c r="CS614" s="1261">
        <f>SUM(CS589:CW613)</f>
        <v>1</v>
      </c>
      <c r="CT614" s="1262"/>
      <c r="CU614" s="1262"/>
      <c r="CV614" s="1262"/>
      <c r="CW614" s="1263"/>
      <c r="CX614" s="1261">
        <f>SUM(CX589:DB613)</f>
        <v>2</v>
      </c>
      <c r="CY614" s="1262"/>
      <c r="CZ614" s="1262"/>
      <c r="DA614" s="1262"/>
      <c r="DB614" s="1263"/>
      <c r="DC614" s="1261">
        <f>SUM(DC589:DG613)</f>
        <v>7</v>
      </c>
      <c r="DD614" s="1262"/>
      <c r="DE614" s="1262"/>
      <c r="DF614" s="1262"/>
      <c r="DG614" s="1263"/>
      <c r="DH614" s="1261">
        <f>SUM(DH589:DL613)</f>
        <v>1</v>
      </c>
      <c r="DI614" s="1262"/>
      <c r="DJ614" s="1262"/>
      <c r="DK614" s="1262"/>
      <c r="DL614" s="1263"/>
      <c r="DM614" s="1261">
        <f>SUM(DM589:DQ613)</f>
        <v>0</v>
      </c>
      <c r="DN614" s="1262"/>
      <c r="DO614" s="1262"/>
      <c r="DP614" s="1262"/>
      <c r="DQ614" s="1263"/>
      <c r="DR614" s="1261">
        <f>SUM(DR589:DV613)</f>
        <v>0</v>
      </c>
      <c r="DS614" s="1262"/>
      <c r="DT614" s="1262"/>
      <c r="DU614" s="1262"/>
      <c r="DV614" s="1263"/>
    </row>
    <row r="615" spans="1:126" ht="12.95" customHeight="1" thickBot="1">
      <c r="B615" s="1561" t="s">
        <v>2324</v>
      </c>
      <c r="C615" s="1562"/>
      <c r="D615" s="1562"/>
      <c r="E615" s="1562"/>
      <c r="F615" s="1562"/>
      <c r="G615" s="1562"/>
      <c r="H615" s="1562"/>
      <c r="I615" s="1562"/>
      <c r="J615" s="1562"/>
      <c r="K615" s="1562"/>
      <c r="L615" s="1562"/>
      <c r="M615" s="1424" t="s">
        <v>2298</v>
      </c>
      <c r="N615" s="1424"/>
      <c r="O615" s="1424"/>
      <c r="P615" s="1424"/>
      <c r="Q615" s="1335" t="s">
        <v>2328</v>
      </c>
      <c r="R615" s="1336"/>
      <c r="S615" s="1337"/>
      <c r="T615" s="1335" t="s">
        <v>2327</v>
      </c>
      <c r="U615" s="1336"/>
      <c r="V615" s="1337"/>
      <c r="W615" s="1566" t="s">
        <v>775</v>
      </c>
      <c r="X615" s="1566"/>
      <c r="Y615" s="1567"/>
      <c r="Z615" s="1424" t="s">
        <v>2325</v>
      </c>
      <c r="AA615" s="1424"/>
      <c r="AB615" s="1424"/>
      <c r="AC615" s="1572" t="s">
        <v>2089</v>
      </c>
      <c r="AD615" s="1573"/>
      <c r="AE615" s="1574"/>
      <c r="AF615" s="1335" t="s">
        <v>2255</v>
      </c>
      <c r="AG615" s="1336"/>
      <c r="AH615" s="1336"/>
      <c r="AI615" s="1336"/>
      <c r="AJ615" s="1337"/>
      <c r="AK615" s="1552" t="s">
        <v>2256</v>
      </c>
      <c r="AL615" s="1553"/>
      <c r="AM615" s="1553"/>
      <c r="AN615" s="1554"/>
      <c r="AO615" s="1424" t="s">
        <v>776</v>
      </c>
      <c r="AP615" s="1424"/>
      <c r="AQ615" s="1424"/>
      <c r="AR615" s="1424"/>
      <c r="AS615" s="142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79">
        <f>BR614+BW614+CB614+CG614+CL614+CQ614</f>
        <v>130</v>
      </c>
      <c r="CR615" s="41"/>
      <c r="CS615" s="41"/>
    </row>
    <row r="616" spans="1:126" ht="12.95" customHeight="1">
      <c r="B616" s="1563"/>
      <c r="C616" s="1477"/>
      <c r="D616" s="1477"/>
      <c r="E616" s="1477"/>
      <c r="F616" s="1477"/>
      <c r="G616" s="1477"/>
      <c r="H616" s="1477"/>
      <c r="I616" s="1477"/>
      <c r="J616" s="1477"/>
      <c r="K616" s="1477"/>
      <c r="L616" s="1477"/>
      <c r="M616" s="1424"/>
      <c r="N616" s="1424"/>
      <c r="O616" s="1424"/>
      <c r="P616" s="1424"/>
      <c r="Q616" s="1338"/>
      <c r="R616" s="1339"/>
      <c r="S616" s="1340"/>
      <c r="T616" s="1338"/>
      <c r="U616" s="1339"/>
      <c r="V616" s="1340"/>
      <c r="W616" s="1568"/>
      <c r="X616" s="1568"/>
      <c r="Y616" s="1569"/>
      <c r="Z616" s="1424"/>
      <c r="AA616" s="1424"/>
      <c r="AB616" s="1424"/>
      <c r="AC616" s="1575"/>
      <c r="AD616" s="1576"/>
      <c r="AE616" s="1577"/>
      <c r="AF616" s="1338"/>
      <c r="AG616" s="1339"/>
      <c r="AH616" s="1339"/>
      <c r="AI616" s="1339"/>
      <c r="AJ616" s="1340"/>
      <c r="AK616" s="1555"/>
      <c r="AL616" s="1556"/>
      <c r="AM616" s="1556"/>
      <c r="AN616" s="1557"/>
      <c r="AO616" s="1424"/>
      <c r="AP616" s="1424"/>
      <c r="AQ616" s="1424"/>
      <c r="AR616" s="1424"/>
      <c r="AS616" s="1424"/>
      <c r="AT616" s="41"/>
      <c r="AU616" s="41"/>
      <c r="AV616" s="41"/>
      <c r="AW616" s="41"/>
      <c r="AX616" s="41"/>
      <c r="AY616" s="41"/>
      <c r="AZ616" s="41"/>
      <c r="BN616" s="1255">
        <f>IF(J738="SRO/Studio",O738,0)</f>
        <v>0</v>
      </c>
      <c r="BO616" s="1256"/>
      <c r="BP616" s="1256"/>
      <c r="BQ616" s="1256"/>
      <c r="BR616" s="1257"/>
      <c r="BS616" s="1255">
        <f>IF(J738="1 Bedroom",O738,0)</f>
        <v>0</v>
      </c>
      <c r="BT616" s="1256"/>
      <c r="BU616" s="1256"/>
      <c r="BV616" s="1256"/>
      <c r="BW616" s="1257"/>
      <c r="BX616" s="1255">
        <f>IF(J738="2 Bedrooms",O738,0)</f>
        <v>0</v>
      </c>
      <c r="BY616" s="1256"/>
      <c r="BZ616" s="1256"/>
      <c r="CA616" s="1256"/>
      <c r="CB616" s="1257"/>
      <c r="CC616" s="1255">
        <f>IF(J738="3 Bedrooms",O738,0)</f>
        <v>0</v>
      </c>
      <c r="CD616" s="1256"/>
      <c r="CE616" s="1256"/>
      <c r="CF616" s="1256"/>
      <c r="CG616" s="1257"/>
      <c r="CH616" s="1255">
        <f>IF(J738="4 Bedrooms",O738,0)</f>
        <v>0</v>
      </c>
      <c r="CI616" s="1256"/>
      <c r="CJ616" s="1256"/>
      <c r="CK616" s="1256"/>
      <c r="CL616" s="1257"/>
      <c r="CM616" s="1265">
        <f>IF(J738="5 Bedrooms",O738,0)</f>
        <v>0</v>
      </c>
      <c r="CN616" s="1266"/>
      <c r="CO616" s="1266"/>
      <c r="CP616" s="1266"/>
      <c r="CQ616" s="1264"/>
      <c r="CR616" s="41"/>
      <c r="CS616" s="41"/>
    </row>
    <row r="617" spans="1:126" ht="12.95" customHeight="1">
      <c r="B617" s="1564"/>
      <c r="C617" s="1565"/>
      <c r="D617" s="1565"/>
      <c r="E617" s="1565"/>
      <c r="F617" s="1565"/>
      <c r="G617" s="1565"/>
      <c r="H617" s="1565"/>
      <c r="I617" s="1565"/>
      <c r="J617" s="1565"/>
      <c r="K617" s="1565"/>
      <c r="L617" s="1565"/>
      <c r="M617" s="1424"/>
      <c r="N617" s="1424"/>
      <c r="O617" s="1424"/>
      <c r="P617" s="1424"/>
      <c r="Q617" s="1370"/>
      <c r="R617" s="1371"/>
      <c r="S617" s="1372"/>
      <c r="T617" s="1370"/>
      <c r="U617" s="1371"/>
      <c r="V617" s="1372"/>
      <c r="W617" s="1570"/>
      <c r="X617" s="1570"/>
      <c r="Y617" s="1571"/>
      <c r="Z617" s="1424"/>
      <c r="AA617" s="1424"/>
      <c r="AB617" s="1424"/>
      <c r="AC617" s="1578"/>
      <c r="AD617" s="1579"/>
      <c r="AE617" s="1580"/>
      <c r="AF617" s="1370"/>
      <c r="AG617" s="1371"/>
      <c r="AH617" s="1371"/>
      <c r="AI617" s="1371"/>
      <c r="AJ617" s="1372"/>
      <c r="AK617" s="1558"/>
      <c r="AL617" s="1559"/>
      <c r="AM617" s="1559"/>
      <c r="AN617" s="1560"/>
      <c r="AO617" s="1424"/>
      <c r="AP617" s="1424"/>
      <c r="AQ617" s="1424"/>
      <c r="AR617" s="1424"/>
      <c r="AS617" s="1424"/>
      <c r="AT617" s="43"/>
      <c r="AU617" s="43"/>
      <c r="AV617" s="43"/>
      <c r="AW617" s="43"/>
      <c r="AX617" s="43"/>
      <c r="AY617" s="43"/>
      <c r="AZ617" s="43"/>
      <c r="BN617" s="1255">
        <f>IF(J739="SRO/Studio",O739,0)</f>
        <v>0</v>
      </c>
      <c r="BO617" s="1256"/>
      <c r="BP617" s="1256"/>
      <c r="BQ617" s="1256"/>
      <c r="BR617" s="1257"/>
      <c r="BS617" s="1255">
        <f>IF(J739="1 Bedroom",O739,0)</f>
        <v>0</v>
      </c>
      <c r="BT617" s="1256"/>
      <c r="BU617" s="1256"/>
      <c r="BV617" s="1256"/>
      <c r="BW617" s="1257"/>
      <c r="BX617" s="1255">
        <f>IF(J739="2 Bedrooms",O739,0)</f>
        <v>0</v>
      </c>
      <c r="BY617" s="1256"/>
      <c r="BZ617" s="1256"/>
      <c r="CA617" s="1256"/>
      <c r="CB617" s="1257"/>
      <c r="CC617" s="1255">
        <f>IF(J739="3 Bedrooms",O739,0)</f>
        <v>0</v>
      </c>
      <c r="CD617" s="1256"/>
      <c r="CE617" s="1256"/>
      <c r="CF617" s="1256"/>
      <c r="CG617" s="1257"/>
      <c r="CH617" s="1255">
        <f>IF(J739="4 Bedrooms",O739,0)</f>
        <v>0</v>
      </c>
      <c r="CI617" s="1256"/>
      <c r="CJ617" s="1256"/>
      <c r="CK617" s="1256"/>
      <c r="CL617" s="1257"/>
      <c r="CM617" s="1265">
        <f>IF(J739="5 Bedrooms",O739,0)</f>
        <v>0</v>
      </c>
      <c r="CN617" s="1266"/>
      <c r="CO617" s="1266"/>
      <c r="CP617" s="1266"/>
      <c r="CQ617" s="1264"/>
      <c r="CR617" s="41"/>
      <c r="CS617" s="41"/>
    </row>
    <row r="618" spans="1:126" ht="12.95" customHeight="1">
      <c r="B618" s="57" t="s">
        <v>943</v>
      </c>
      <c r="C618" s="1420" t="str">
        <f>C546</f>
        <v>East West Bank</v>
      </c>
      <c r="D618" s="1420"/>
      <c r="E618" s="1420"/>
      <c r="F618" s="1420"/>
      <c r="G618" s="1420"/>
      <c r="H618" s="1420"/>
      <c r="I618" s="1420"/>
      <c r="J618" s="1420"/>
      <c r="K618" s="1420"/>
      <c r="L618" s="1420"/>
      <c r="M618" s="1245" t="s">
        <v>2308</v>
      </c>
      <c r="N618" s="1245"/>
      <c r="O618" s="1245"/>
      <c r="P618" s="1245"/>
      <c r="Q618" s="1246">
        <v>16</v>
      </c>
      <c r="R618" s="1247"/>
      <c r="S618" s="1248"/>
      <c r="T618" s="1249">
        <f>40*12</f>
        <v>480</v>
      </c>
      <c r="U618" s="1250"/>
      <c r="V618" s="1251"/>
      <c r="W618" s="1252">
        <v>0.06</v>
      </c>
      <c r="X618" s="1253"/>
      <c r="Y618" s="1254"/>
      <c r="Z618" s="1242" t="s">
        <v>2326</v>
      </c>
      <c r="AA618" s="1243"/>
      <c r="AB618" s="1244"/>
      <c r="AC618" s="1236">
        <v>1</v>
      </c>
      <c r="AD618" s="1237"/>
      <c r="AE618" s="1238"/>
      <c r="AF618" s="1119">
        <v>729416</v>
      </c>
      <c r="AG618" s="1120"/>
      <c r="AH618" s="1120"/>
      <c r="AI618" s="1120"/>
      <c r="AJ618" s="1121"/>
      <c r="AK618" s="1239"/>
      <c r="AL618" s="1240"/>
      <c r="AM618" s="1240"/>
      <c r="AN618" s="1241"/>
      <c r="AO618" s="1129">
        <v>10975000</v>
      </c>
      <c r="AP618" s="1129"/>
      <c r="AQ618" s="1129"/>
      <c r="AR618" s="1129"/>
      <c r="AS618" s="1129"/>
      <c r="AT618" s="964" t="str">
        <f t="shared" ref="AT618:AT629" si="21">IF(AND(NOT(C617=""),C618="",NOT(C619="")),"!","")</f>
        <v/>
      </c>
      <c r="AU618" s="43"/>
      <c r="AV618" s="43"/>
      <c r="AW618" s="43"/>
      <c r="AX618" s="43"/>
      <c r="AY618" s="43"/>
      <c r="BA618" s="41" t="s">
        <v>2076</v>
      </c>
      <c r="BC618" s="43"/>
      <c r="BD618" s="43"/>
      <c r="BN618" s="1255">
        <f>IF(J740="SRO/Studio",O740,0)</f>
        <v>0</v>
      </c>
      <c r="BO618" s="1256"/>
      <c r="BP618" s="1256"/>
      <c r="BQ618" s="1256"/>
      <c r="BR618" s="1257"/>
      <c r="BS618" s="1255">
        <f>IF(J740="1 Bedroom",O740,0)</f>
        <v>0</v>
      </c>
      <c r="BT618" s="1256"/>
      <c r="BU618" s="1256"/>
      <c r="BV618" s="1256"/>
      <c r="BW618" s="1257"/>
      <c r="BX618" s="1255">
        <f>IF(J740="2 Bedrooms",O740,0)</f>
        <v>0</v>
      </c>
      <c r="BY618" s="1256"/>
      <c r="BZ618" s="1256"/>
      <c r="CA618" s="1256"/>
      <c r="CB618" s="1257"/>
      <c r="CC618" s="1255">
        <f>IF(J740="3 Bedrooms",O740,0)</f>
        <v>0</v>
      </c>
      <c r="CD618" s="1256"/>
      <c r="CE618" s="1256"/>
      <c r="CF618" s="1256"/>
      <c r="CG618" s="1257"/>
      <c r="CH618" s="1255">
        <f>IF(J740="4 Bedrooms",O740,0)</f>
        <v>0</v>
      </c>
      <c r="CI618" s="1256"/>
      <c r="CJ618" s="1256"/>
      <c r="CK618" s="1256"/>
      <c r="CL618" s="1257"/>
      <c r="CM618" s="1265">
        <f>IF(J740="5 Bedrooms",O740,0)</f>
        <v>0</v>
      </c>
      <c r="CN618" s="1266"/>
      <c r="CO618" s="1266"/>
      <c r="CP618" s="1266"/>
      <c r="CQ618" s="1264"/>
      <c r="CR618" s="41"/>
      <c r="CS618" s="41"/>
    </row>
    <row r="619" spans="1:126" ht="12.95" customHeight="1">
      <c r="B619" s="58" t="s">
        <v>944</v>
      </c>
      <c r="C619" s="1420" t="str">
        <f t="shared" ref="C619" si="22">C547</f>
        <v>DHI Guarantor, LLC</v>
      </c>
      <c r="D619" s="1420"/>
      <c r="E619" s="1420"/>
      <c r="F619" s="1420"/>
      <c r="G619" s="1420"/>
      <c r="H619" s="1420"/>
      <c r="I619" s="1420"/>
      <c r="J619" s="1420"/>
      <c r="K619" s="1420"/>
      <c r="L619" s="1420"/>
      <c r="M619" s="1245" t="s">
        <v>2312</v>
      </c>
      <c r="N619" s="1245"/>
      <c r="O619" s="1245"/>
      <c r="P619" s="1245"/>
      <c r="Q619" s="1246">
        <v>20</v>
      </c>
      <c r="R619" s="1247"/>
      <c r="S619" s="1248"/>
      <c r="T619" s="1249"/>
      <c r="U619" s="1250"/>
      <c r="V619" s="1251"/>
      <c r="W619" s="1252">
        <v>0.06</v>
      </c>
      <c r="X619" s="1253"/>
      <c r="Y619" s="1254"/>
      <c r="Z619" s="1242" t="s">
        <v>825</v>
      </c>
      <c r="AA619" s="1243"/>
      <c r="AB619" s="1244"/>
      <c r="AC619" s="1236">
        <v>2</v>
      </c>
      <c r="AD619" s="1237"/>
      <c r="AE619" s="1238"/>
      <c r="AF619" s="1119"/>
      <c r="AG619" s="1120"/>
      <c r="AH619" s="1120"/>
      <c r="AI619" s="1120"/>
      <c r="AJ619" s="1121"/>
      <c r="AK619" s="1239"/>
      <c r="AL619" s="1240"/>
      <c r="AM619" s="1240"/>
      <c r="AN619" s="1241"/>
      <c r="AO619" s="1129">
        <v>7794405</v>
      </c>
      <c r="AP619" s="1129"/>
      <c r="AQ619" s="1129"/>
      <c r="AR619" s="1129"/>
      <c r="AS619" s="1129"/>
      <c r="AT619" s="964" t="str">
        <f t="shared" si="21"/>
        <v/>
      </c>
      <c r="AU619" s="43"/>
      <c r="AV619" s="43"/>
      <c r="AW619" s="43"/>
      <c r="AX619" s="43"/>
      <c r="AY619" s="43"/>
      <c r="BA619" s="41" t="s">
        <v>826</v>
      </c>
      <c r="BC619" s="43"/>
      <c r="BD619" s="43"/>
      <c r="BN619" s="1255">
        <f>IF(J741="SRO/Studio",O741,0)</f>
        <v>0</v>
      </c>
      <c r="BO619" s="1256"/>
      <c r="BP619" s="1256"/>
      <c r="BQ619" s="1256"/>
      <c r="BR619" s="1257"/>
      <c r="BS619" s="1255">
        <f>IF(J741="1 Bedroom",O741,0)</f>
        <v>0</v>
      </c>
      <c r="BT619" s="1256"/>
      <c r="BU619" s="1256"/>
      <c r="BV619" s="1256"/>
      <c r="BW619" s="1257"/>
      <c r="BX619" s="1255">
        <f>IF(J741="2 Bedrooms",O741,0)</f>
        <v>0</v>
      </c>
      <c r="BY619" s="1256"/>
      <c r="BZ619" s="1256"/>
      <c r="CA619" s="1256"/>
      <c r="CB619" s="1257"/>
      <c r="CC619" s="1255">
        <f>IF(J741="3 Bedrooms",O741,0)</f>
        <v>0</v>
      </c>
      <c r="CD619" s="1256"/>
      <c r="CE619" s="1256"/>
      <c r="CF619" s="1256"/>
      <c r="CG619" s="1257"/>
      <c r="CH619" s="1255">
        <f>IF(J741="4 Bedrooms",O741,0)</f>
        <v>0</v>
      </c>
      <c r="CI619" s="1256"/>
      <c r="CJ619" s="1256"/>
      <c r="CK619" s="1256"/>
      <c r="CL619" s="1257"/>
      <c r="CM619" s="1265">
        <f>IF(J741="5 Bedrooms",O741,0)</f>
        <v>0</v>
      </c>
      <c r="CN619" s="1266"/>
      <c r="CO619" s="1266"/>
      <c r="CP619" s="1266"/>
      <c r="CQ619" s="1264"/>
      <c r="CR619" s="41"/>
      <c r="CS619" s="41"/>
    </row>
    <row r="620" spans="1:126" ht="12.95" customHeight="1">
      <c r="B620" s="58" t="s">
        <v>950</v>
      </c>
      <c r="C620" s="1420" t="s">
        <v>2447</v>
      </c>
      <c r="D620" s="1420"/>
      <c r="E620" s="1420"/>
      <c r="F620" s="1420"/>
      <c r="G620" s="1420"/>
      <c r="H620" s="1420"/>
      <c r="I620" s="1420"/>
      <c r="J620" s="1420"/>
      <c r="K620" s="1420"/>
      <c r="L620" s="1420"/>
      <c r="M620" s="1245" t="s">
        <v>2316</v>
      </c>
      <c r="N620" s="1245"/>
      <c r="O620" s="1245"/>
      <c r="P620" s="1245"/>
      <c r="Q620" s="1246"/>
      <c r="R620" s="1247"/>
      <c r="S620" s="1248"/>
      <c r="T620" s="1249"/>
      <c r="U620" s="1250"/>
      <c r="V620" s="1251"/>
      <c r="W620" s="1252"/>
      <c r="X620" s="1253"/>
      <c r="Y620" s="1254"/>
      <c r="Z620" s="1242" t="s">
        <v>2076</v>
      </c>
      <c r="AA620" s="1243"/>
      <c r="AB620" s="1244"/>
      <c r="AC620" s="1236"/>
      <c r="AD620" s="1237"/>
      <c r="AE620" s="1238"/>
      <c r="AF620" s="1119"/>
      <c r="AG620" s="1120"/>
      <c r="AH620" s="1120"/>
      <c r="AI620" s="1120"/>
      <c r="AJ620" s="1121"/>
      <c r="AK620" s="1239"/>
      <c r="AL620" s="1240"/>
      <c r="AM620" s="1240"/>
      <c r="AN620" s="1241"/>
      <c r="AO620" s="1129">
        <v>861887</v>
      </c>
      <c r="AP620" s="1129"/>
      <c r="AQ620" s="1129"/>
      <c r="AR620" s="1129"/>
      <c r="AS620" s="1129"/>
      <c r="AT620" s="964" t="str">
        <f t="shared" si="21"/>
        <v/>
      </c>
      <c r="AU620" s="43"/>
      <c r="AV620" s="43"/>
      <c r="AW620" s="43"/>
      <c r="AX620" s="43"/>
      <c r="AY620" s="43"/>
      <c r="AZ620" s="43"/>
      <c r="BA620" s="41" t="s">
        <v>825</v>
      </c>
      <c r="BB620" s="43"/>
      <c r="BC620" s="43"/>
      <c r="BD620" s="43"/>
      <c r="BN620" s="1258">
        <f>SUM(BN616:BR619)</f>
        <v>0</v>
      </c>
      <c r="BO620" s="1259"/>
      <c r="BP620" s="1259"/>
      <c r="BQ620" s="1259"/>
      <c r="BR620" s="1260"/>
      <c r="BS620" s="1258">
        <f>SUM(BS616:BW619)</f>
        <v>0</v>
      </c>
      <c r="BT620" s="1259"/>
      <c r="BU620" s="1259"/>
      <c r="BV620" s="1259"/>
      <c r="BW620" s="1260"/>
      <c r="BX620" s="1258">
        <f>SUM(BX616:CB619)</f>
        <v>0</v>
      </c>
      <c r="BY620" s="1259"/>
      <c r="BZ620" s="1259"/>
      <c r="CA620" s="1259"/>
      <c r="CB620" s="1260"/>
      <c r="CC620" s="1258">
        <f>SUM(CC616:CG619)</f>
        <v>0</v>
      </c>
      <c r="CD620" s="1259"/>
      <c r="CE620" s="1259"/>
      <c r="CF620" s="1259"/>
      <c r="CG620" s="1260"/>
      <c r="CH620" s="1258">
        <f>SUM(CH616:CL619)</f>
        <v>0</v>
      </c>
      <c r="CI620" s="1259"/>
      <c r="CJ620" s="1259"/>
      <c r="CK620" s="1259"/>
      <c r="CL620" s="1260"/>
      <c r="CM620" s="1258">
        <f>SUM(CM616:CQ619)</f>
        <v>0</v>
      </c>
      <c r="CN620" s="1259"/>
      <c r="CO620" s="1259"/>
      <c r="CP620" s="1259"/>
      <c r="CQ620" s="1260"/>
      <c r="CS620" s="478">
        <f>BN620+BS620+BX620+CC620+CH620+CM620</f>
        <v>0</v>
      </c>
      <c r="CT620" s="63" t="s">
        <v>2080</v>
      </c>
      <c r="CU620" s="41"/>
    </row>
    <row r="621" spans="1:126" ht="12.95" customHeight="1">
      <c r="B621" s="58" t="s">
        <v>460</v>
      </c>
      <c r="C621" s="1420" t="s">
        <v>2446</v>
      </c>
      <c r="D621" s="1420"/>
      <c r="E621" s="1420"/>
      <c r="F621" s="1420"/>
      <c r="G621" s="1420"/>
      <c r="H621" s="1420"/>
      <c r="I621" s="1420"/>
      <c r="J621" s="1420"/>
      <c r="K621" s="1420"/>
      <c r="L621" s="1420"/>
      <c r="M621" s="1245" t="s">
        <v>2301</v>
      </c>
      <c r="N621" s="1245"/>
      <c r="O621" s="1245"/>
      <c r="P621" s="1245"/>
      <c r="Q621" s="1246"/>
      <c r="R621" s="1247"/>
      <c r="S621" s="1248"/>
      <c r="T621" s="1249"/>
      <c r="U621" s="1250"/>
      <c r="V621" s="1251"/>
      <c r="W621" s="1252"/>
      <c r="X621" s="1253"/>
      <c r="Y621" s="1254"/>
      <c r="Z621" s="1242" t="s">
        <v>2076</v>
      </c>
      <c r="AA621" s="1243"/>
      <c r="AB621" s="1244"/>
      <c r="AC621" s="1236"/>
      <c r="AD621" s="1237"/>
      <c r="AE621" s="1238"/>
      <c r="AF621" s="1119"/>
      <c r="AG621" s="1120"/>
      <c r="AH621" s="1120"/>
      <c r="AI621" s="1120"/>
      <c r="AJ621" s="1121"/>
      <c r="AK621" s="1239"/>
      <c r="AL621" s="1240"/>
      <c r="AM621" s="1240"/>
      <c r="AN621" s="1241"/>
      <c r="AO621" s="1129">
        <v>1100000</v>
      </c>
      <c r="AP621" s="1129"/>
      <c r="AQ621" s="1129"/>
      <c r="AR621" s="1129"/>
      <c r="AS621" s="1129"/>
      <c r="AT621" s="964" t="str">
        <f t="shared" si="21"/>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0"/>
      <c r="D622" s="1420"/>
      <c r="E622" s="1420"/>
      <c r="F622" s="1420"/>
      <c r="G622" s="1420"/>
      <c r="H622" s="1420"/>
      <c r="I622" s="1420"/>
      <c r="J622" s="1420"/>
      <c r="K622" s="1420"/>
      <c r="L622" s="1420"/>
      <c r="M622" s="1245" t="s">
        <v>2076</v>
      </c>
      <c r="N622" s="1245"/>
      <c r="O622" s="1245"/>
      <c r="P622" s="1245"/>
      <c r="Q622" s="1246"/>
      <c r="R622" s="1247"/>
      <c r="S622" s="1248"/>
      <c r="T622" s="1249"/>
      <c r="U622" s="1250"/>
      <c r="V622" s="1251"/>
      <c r="W622" s="1252"/>
      <c r="X622" s="1253"/>
      <c r="Y622" s="1254"/>
      <c r="Z622" s="1242" t="s">
        <v>2076</v>
      </c>
      <c r="AA622" s="1243"/>
      <c r="AB622" s="1244"/>
      <c r="AC622" s="1236"/>
      <c r="AD622" s="1237"/>
      <c r="AE622" s="1238"/>
      <c r="AF622" s="1119"/>
      <c r="AG622" s="1120"/>
      <c r="AH622" s="1120"/>
      <c r="AI622" s="1120"/>
      <c r="AJ622" s="1121"/>
      <c r="AK622" s="1239"/>
      <c r="AL622" s="1240"/>
      <c r="AM622" s="1240"/>
      <c r="AN622" s="1241"/>
      <c r="AO622" s="1129"/>
      <c r="AP622" s="1129"/>
      <c r="AQ622" s="1129"/>
      <c r="AR622" s="1129"/>
      <c r="AS622" s="1129"/>
      <c r="AT622" s="964" t="str">
        <f t="shared" si="21"/>
        <v/>
      </c>
      <c r="AU622" s="43"/>
      <c r="AV622" s="43"/>
      <c r="AW622" s="43"/>
      <c r="AX622" s="43"/>
      <c r="AY622" s="43"/>
      <c r="AZ622" s="43"/>
      <c r="BA622" s="41" t="s">
        <v>528</v>
      </c>
      <c r="BN622" s="1255">
        <f t="shared" ref="BN622:BN631" si="23">IF(J752="SRO/Studio",O752,0)</f>
        <v>0</v>
      </c>
      <c r="BO622" s="1256"/>
      <c r="BP622" s="1256"/>
      <c r="BQ622" s="1256"/>
      <c r="BR622" s="1257"/>
      <c r="BS622" s="1255">
        <f t="shared" ref="BS622:BS631" si="24">IF(J752="1 Bedroom",O752,0)</f>
        <v>0</v>
      </c>
      <c r="BT622" s="1256"/>
      <c r="BU622" s="1256"/>
      <c r="BV622" s="1256"/>
      <c r="BW622" s="1257"/>
      <c r="BX622" s="1255">
        <f t="shared" ref="BX622:BX631" si="25">IF(J752="2 Bedrooms",O752,0)</f>
        <v>0</v>
      </c>
      <c r="BY622" s="1256"/>
      <c r="BZ622" s="1256"/>
      <c r="CA622" s="1256"/>
      <c r="CB622" s="1257"/>
      <c r="CC622" s="1255">
        <f t="shared" ref="CC622:CC631" si="26">IF(J752="3 Bedrooms",O752,0)</f>
        <v>0</v>
      </c>
      <c r="CD622" s="1256"/>
      <c r="CE622" s="1256"/>
      <c r="CF622" s="1256"/>
      <c r="CG622" s="1257"/>
      <c r="CH622" s="1255">
        <f t="shared" ref="CH622:CH631" si="27">IF(J752="4 Bedrooms",O752,0)</f>
        <v>0</v>
      </c>
      <c r="CI622" s="1256"/>
      <c r="CJ622" s="1256"/>
      <c r="CK622" s="1256"/>
      <c r="CL622" s="1257"/>
      <c r="CM622" s="1255">
        <f t="shared" ref="CM622:CM631" si="28">IF(J752="5 Bedrooms",O752,0)</f>
        <v>0</v>
      </c>
      <c r="CN622" s="1256"/>
      <c r="CO622" s="1256"/>
      <c r="CP622" s="1256"/>
      <c r="CQ622" s="1257"/>
      <c r="CR622" s="41"/>
      <c r="CS622" s="41"/>
    </row>
    <row r="623" spans="1:126" ht="12.95" customHeight="1">
      <c r="B623" s="58" t="s">
        <v>463</v>
      </c>
      <c r="C623" s="1420"/>
      <c r="D623" s="1420"/>
      <c r="E623" s="1420"/>
      <c r="F623" s="1420"/>
      <c r="G623" s="1420"/>
      <c r="H623" s="1420"/>
      <c r="I623" s="1420"/>
      <c r="J623" s="1420"/>
      <c r="K623" s="1420"/>
      <c r="L623" s="1420"/>
      <c r="M623" s="1245" t="s">
        <v>2076</v>
      </c>
      <c r="N623" s="1245"/>
      <c r="O623" s="1245"/>
      <c r="P623" s="1245"/>
      <c r="Q623" s="1246"/>
      <c r="R623" s="1247"/>
      <c r="S623" s="1248"/>
      <c r="T623" s="1249"/>
      <c r="U623" s="1250"/>
      <c r="V623" s="1251"/>
      <c r="W623" s="1252"/>
      <c r="X623" s="1253"/>
      <c r="Y623" s="1254"/>
      <c r="Z623" s="1242" t="s">
        <v>2076</v>
      </c>
      <c r="AA623" s="1243"/>
      <c r="AB623" s="1244"/>
      <c r="AC623" s="1236"/>
      <c r="AD623" s="1237"/>
      <c r="AE623" s="1238"/>
      <c r="AF623" s="1119"/>
      <c r="AG623" s="1120"/>
      <c r="AH623" s="1120"/>
      <c r="AI623" s="1120"/>
      <c r="AJ623" s="1121"/>
      <c r="AK623" s="1239"/>
      <c r="AL623" s="1240"/>
      <c r="AM623" s="1240"/>
      <c r="AN623" s="1241"/>
      <c r="AO623" s="1129"/>
      <c r="AP623" s="1129"/>
      <c r="AQ623" s="1129"/>
      <c r="AR623" s="1129"/>
      <c r="AS623" s="1129"/>
      <c r="AT623" s="964" t="str">
        <f t="shared" si="21"/>
        <v/>
      </c>
      <c r="AU623" s="43"/>
      <c r="AV623" s="43"/>
      <c r="AW623" s="43"/>
      <c r="AX623" s="43"/>
      <c r="AY623" s="43"/>
      <c r="AZ623" s="43"/>
      <c r="BN623" s="1255">
        <f t="shared" si="23"/>
        <v>0</v>
      </c>
      <c r="BO623" s="1256"/>
      <c r="BP623" s="1256"/>
      <c r="BQ623" s="1256"/>
      <c r="BR623" s="1257"/>
      <c r="BS623" s="1255">
        <f t="shared" si="24"/>
        <v>0</v>
      </c>
      <c r="BT623" s="1256"/>
      <c r="BU623" s="1256"/>
      <c r="BV623" s="1256"/>
      <c r="BW623" s="1257"/>
      <c r="BX623" s="1255">
        <f t="shared" si="25"/>
        <v>0</v>
      </c>
      <c r="BY623" s="1256"/>
      <c r="BZ623" s="1256"/>
      <c r="CA623" s="1256"/>
      <c r="CB623" s="1257"/>
      <c r="CC623" s="1255">
        <f t="shared" si="26"/>
        <v>0</v>
      </c>
      <c r="CD623" s="1256"/>
      <c r="CE623" s="1256"/>
      <c r="CF623" s="1256"/>
      <c r="CG623" s="1257"/>
      <c r="CH623" s="1255">
        <f t="shared" si="27"/>
        <v>0</v>
      </c>
      <c r="CI623" s="1256"/>
      <c r="CJ623" s="1256"/>
      <c r="CK623" s="1256"/>
      <c r="CL623" s="1257"/>
      <c r="CM623" s="1255">
        <f t="shared" si="28"/>
        <v>0</v>
      </c>
      <c r="CN623" s="1256"/>
      <c r="CO623" s="1256"/>
      <c r="CP623" s="1256"/>
      <c r="CQ623" s="1257"/>
      <c r="CR623" s="41"/>
      <c r="CS623" s="41"/>
    </row>
    <row r="624" spans="1:126" ht="12.95" customHeight="1">
      <c r="B624" s="58" t="s">
        <v>777</v>
      </c>
      <c r="C624" s="1420"/>
      <c r="D624" s="1420"/>
      <c r="E624" s="1420"/>
      <c r="F624" s="1420"/>
      <c r="G624" s="1420"/>
      <c r="H624" s="1420"/>
      <c r="I624" s="1420"/>
      <c r="J624" s="1420"/>
      <c r="K624" s="1420"/>
      <c r="L624" s="1420"/>
      <c r="M624" s="1245" t="s">
        <v>2076</v>
      </c>
      <c r="N624" s="1245"/>
      <c r="O624" s="1245"/>
      <c r="P624" s="1245"/>
      <c r="Q624" s="1246"/>
      <c r="R624" s="1247"/>
      <c r="S624" s="1248"/>
      <c r="T624" s="1249"/>
      <c r="U624" s="1250"/>
      <c r="V624" s="1251"/>
      <c r="W624" s="1252"/>
      <c r="X624" s="1253"/>
      <c r="Y624" s="1254"/>
      <c r="Z624" s="1242" t="s">
        <v>2076</v>
      </c>
      <c r="AA624" s="1243"/>
      <c r="AB624" s="1244"/>
      <c r="AC624" s="1236"/>
      <c r="AD624" s="1237"/>
      <c r="AE624" s="1238"/>
      <c r="AF624" s="1119"/>
      <c r="AG624" s="1120"/>
      <c r="AH624" s="1120"/>
      <c r="AI624" s="1120"/>
      <c r="AJ624" s="1121"/>
      <c r="AK624" s="1239"/>
      <c r="AL624" s="1240"/>
      <c r="AM624" s="1240"/>
      <c r="AN624" s="1241"/>
      <c r="AO624" s="1129"/>
      <c r="AP624" s="1129"/>
      <c r="AQ624" s="1129"/>
      <c r="AR624" s="1129"/>
      <c r="AS624" s="1129"/>
      <c r="AT624" s="964" t="str">
        <f t="shared" si="21"/>
        <v/>
      </c>
      <c r="AU624" s="43"/>
      <c r="AV624" s="43"/>
      <c r="AW624" s="43"/>
      <c r="AX624" s="43"/>
      <c r="AY624" s="43"/>
      <c r="AZ624" s="43"/>
      <c r="BN624" s="1255">
        <f t="shared" si="23"/>
        <v>0</v>
      </c>
      <c r="BO624" s="1256"/>
      <c r="BP624" s="1256"/>
      <c r="BQ624" s="1256"/>
      <c r="BR624" s="1257"/>
      <c r="BS624" s="1255">
        <f t="shared" si="24"/>
        <v>0</v>
      </c>
      <c r="BT624" s="1256"/>
      <c r="BU624" s="1256"/>
      <c r="BV624" s="1256"/>
      <c r="BW624" s="1257"/>
      <c r="BX624" s="1255">
        <f t="shared" si="25"/>
        <v>0</v>
      </c>
      <c r="BY624" s="1256"/>
      <c r="BZ624" s="1256"/>
      <c r="CA624" s="1256"/>
      <c r="CB624" s="1257"/>
      <c r="CC624" s="1255">
        <f t="shared" si="26"/>
        <v>0</v>
      </c>
      <c r="CD624" s="1256"/>
      <c r="CE624" s="1256"/>
      <c r="CF624" s="1256"/>
      <c r="CG624" s="1257"/>
      <c r="CH624" s="1255">
        <f t="shared" si="27"/>
        <v>0</v>
      </c>
      <c r="CI624" s="1256"/>
      <c r="CJ624" s="1256"/>
      <c r="CK624" s="1256"/>
      <c r="CL624" s="1257"/>
      <c r="CM624" s="1255">
        <f t="shared" si="28"/>
        <v>0</v>
      </c>
      <c r="CN624" s="1256"/>
      <c r="CO624" s="1256"/>
      <c r="CP624" s="1256"/>
      <c r="CQ624" s="1257"/>
      <c r="CR624" s="41"/>
      <c r="CS624" s="41"/>
    </row>
    <row r="625" spans="1:97" ht="12.95" customHeight="1">
      <c r="B625" s="58" t="s">
        <v>778</v>
      </c>
      <c r="C625" s="1420"/>
      <c r="D625" s="1420"/>
      <c r="E625" s="1420"/>
      <c r="F625" s="1420"/>
      <c r="G625" s="1420"/>
      <c r="H625" s="1420"/>
      <c r="I625" s="1420"/>
      <c r="J625" s="1420"/>
      <c r="K625" s="1420"/>
      <c r="L625" s="1420"/>
      <c r="M625" s="1245" t="s">
        <v>2076</v>
      </c>
      <c r="N625" s="1245"/>
      <c r="O625" s="1245"/>
      <c r="P625" s="1245"/>
      <c r="Q625" s="1246"/>
      <c r="R625" s="1247"/>
      <c r="S625" s="1248"/>
      <c r="T625" s="1249"/>
      <c r="U625" s="1250"/>
      <c r="V625" s="1251"/>
      <c r="W625" s="1252"/>
      <c r="X625" s="1253"/>
      <c r="Y625" s="1254"/>
      <c r="Z625" s="1242" t="s">
        <v>2076</v>
      </c>
      <c r="AA625" s="1243"/>
      <c r="AB625" s="1244"/>
      <c r="AC625" s="1236"/>
      <c r="AD625" s="1237"/>
      <c r="AE625" s="1238"/>
      <c r="AF625" s="1119"/>
      <c r="AG625" s="1120"/>
      <c r="AH625" s="1120"/>
      <c r="AI625" s="1120"/>
      <c r="AJ625" s="1121"/>
      <c r="AK625" s="1239"/>
      <c r="AL625" s="1240"/>
      <c r="AM625" s="1240"/>
      <c r="AN625" s="1241"/>
      <c r="AO625" s="1129"/>
      <c r="AP625" s="1129"/>
      <c r="AQ625" s="1129"/>
      <c r="AR625" s="1129"/>
      <c r="AS625" s="1129"/>
      <c r="AT625" s="964" t="str">
        <f t="shared" si="21"/>
        <v/>
      </c>
      <c r="AU625" s="43"/>
      <c r="AV625" s="43"/>
      <c r="AW625" s="43"/>
      <c r="AX625" s="43"/>
      <c r="AY625" s="43"/>
      <c r="AZ625" s="43"/>
      <c r="BN625" s="1255">
        <f t="shared" si="23"/>
        <v>0</v>
      </c>
      <c r="BO625" s="1256"/>
      <c r="BP625" s="1256"/>
      <c r="BQ625" s="1256"/>
      <c r="BR625" s="1257"/>
      <c r="BS625" s="1255">
        <f t="shared" si="24"/>
        <v>0</v>
      </c>
      <c r="BT625" s="1256"/>
      <c r="BU625" s="1256"/>
      <c r="BV625" s="1256"/>
      <c r="BW625" s="1257"/>
      <c r="BX625" s="1255">
        <f t="shared" si="25"/>
        <v>0</v>
      </c>
      <c r="BY625" s="1256"/>
      <c r="BZ625" s="1256"/>
      <c r="CA625" s="1256"/>
      <c r="CB625" s="1257"/>
      <c r="CC625" s="1255">
        <f t="shared" si="26"/>
        <v>0</v>
      </c>
      <c r="CD625" s="1256"/>
      <c r="CE625" s="1256"/>
      <c r="CF625" s="1256"/>
      <c r="CG625" s="1257"/>
      <c r="CH625" s="1255">
        <f t="shared" si="27"/>
        <v>0</v>
      </c>
      <c r="CI625" s="1256"/>
      <c r="CJ625" s="1256"/>
      <c r="CK625" s="1256"/>
      <c r="CL625" s="1257"/>
      <c r="CM625" s="1255">
        <f t="shared" si="28"/>
        <v>0</v>
      </c>
      <c r="CN625" s="1256"/>
      <c r="CO625" s="1256"/>
      <c r="CP625" s="1256"/>
      <c r="CQ625" s="1257"/>
      <c r="CR625" s="41"/>
      <c r="CS625" s="41"/>
    </row>
    <row r="626" spans="1:97" ht="12.95" customHeight="1">
      <c r="B626" s="58" t="s">
        <v>576</v>
      </c>
      <c r="C626" s="1420"/>
      <c r="D626" s="1420"/>
      <c r="E626" s="1420"/>
      <c r="F626" s="1420"/>
      <c r="G626" s="1420"/>
      <c r="H626" s="1420"/>
      <c r="I626" s="1420"/>
      <c r="J626" s="1420"/>
      <c r="K626" s="1420"/>
      <c r="L626" s="1420"/>
      <c r="M626" s="1245" t="s">
        <v>2076</v>
      </c>
      <c r="N626" s="1245"/>
      <c r="O626" s="1245"/>
      <c r="P626" s="1245"/>
      <c r="Q626" s="1246"/>
      <c r="R626" s="1247"/>
      <c r="S626" s="1248"/>
      <c r="T626" s="1249"/>
      <c r="U626" s="1250"/>
      <c r="V626" s="1251"/>
      <c r="W626" s="1252"/>
      <c r="X626" s="1253"/>
      <c r="Y626" s="1254"/>
      <c r="Z626" s="1242" t="s">
        <v>2076</v>
      </c>
      <c r="AA626" s="1243"/>
      <c r="AB626" s="1244"/>
      <c r="AC626" s="1236"/>
      <c r="AD626" s="1237"/>
      <c r="AE626" s="1238"/>
      <c r="AF626" s="1119"/>
      <c r="AG626" s="1120"/>
      <c r="AH626" s="1120"/>
      <c r="AI626" s="1120"/>
      <c r="AJ626" s="1121"/>
      <c r="AK626" s="1239"/>
      <c r="AL626" s="1240"/>
      <c r="AM626" s="1240"/>
      <c r="AN626" s="1241"/>
      <c r="AO626" s="1129"/>
      <c r="AP626" s="1129"/>
      <c r="AQ626" s="1129"/>
      <c r="AR626" s="1129"/>
      <c r="AS626" s="1129"/>
      <c r="AT626" s="964" t="str">
        <f t="shared" si="21"/>
        <v/>
      </c>
      <c r="AU626" s="41"/>
      <c r="AV626" s="41"/>
      <c r="AW626" s="41"/>
      <c r="AX626" s="41"/>
      <c r="AY626" s="41"/>
      <c r="AZ626" s="41"/>
      <c r="BN626" s="1255">
        <f t="shared" si="23"/>
        <v>0</v>
      </c>
      <c r="BO626" s="1256"/>
      <c r="BP626" s="1256"/>
      <c r="BQ626" s="1256"/>
      <c r="BR626" s="1257"/>
      <c r="BS626" s="1255">
        <f t="shared" si="24"/>
        <v>0</v>
      </c>
      <c r="BT626" s="1256"/>
      <c r="BU626" s="1256"/>
      <c r="BV626" s="1256"/>
      <c r="BW626" s="1257"/>
      <c r="BX626" s="1255">
        <f t="shared" si="25"/>
        <v>0</v>
      </c>
      <c r="BY626" s="1256"/>
      <c r="BZ626" s="1256"/>
      <c r="CA626" s="1256"/>
      <c r="CB626" s="1257"/>
      <c r="CC626" s="1255">
        <f t="shared" si="26"/>
        <v>0</v>
      </c>
      <c r="CD626" s="1256"/>
      <c r="CE626" s="1256"/>
      <c r="CF626" s="1256"/>
      <c r="CG626" s="1257"/>
      <c r="CH626" s="1255">
        <f t="shared" si="27"/>
        <v>0</v>
      </c>
      <c r="CI626" s="1256"/>
      <c r="CJ626" s="1256"/>
      <c r="CK626" s="1256"/>
      <c r="CL626" s="1257"/>
      <c r="CM626" s="1255">
        <f t="shared" si="28"/>
        <v>0</v>
      </c>
      <c r="CN626" s="1256"/>
      <c r="CO626" s="1256"/>
      <c r="CP626" s="1256"/>
      <c r="CQ626" s="1257"/>
      <c r="CR626" s="41"/>
      <c r="CS626" s="41"/>
    </row>
    <row r="627" spans="1:97" ht="12.95" customHeight="1">
      <c r="B627" s="58" t="s">
        <v>185</v>
      </c>
      <c r="C627" s="1420"/>
      <c r="D627" s="1420"/>
      <c r="E627" s="1420"/>
      <c r="F627" s="1420"/>
      <c r="G627" s="1420"/>
      <c r="H627" s="1420"/>
      <c r="I627" s="1420"/>
      <c r="J627" s="1420"/>
      <c r="K627" s="1420"/>
      <c r="L627" s="1420"/>
      <c r="M627" s="1245" t="s">
        <v>2076</v>
      </c>
      <c r="N627" s="1245"/>
      <c r="O627" s="1245"/>
      <c r="P627" s="1245"/>
      <c r="Q627" s="1246"/>
      <c r="R627" s="1247"/>
      <c r="S627" s="1248"/>
      <c r="T627" s="1249"/>
      <c r="U627" s="1250"/>
      <c r="V627" s="1251"/>
      <c r="W627" s="1252"/>
      <c r="X627" s="1253"/>
      <c r="Y627" s="1254"/>
      <c r="Z627" s="1242" t="s">
        <v>2076</v>
      </c>
      <c r="AA627" s="1243"/>
      <c r="AB627" s="1244"/>
      <c r="AC627" s="1236"/>
      <c r="AD627" s="1237"/>
      <c r="AE627" s="1238"/>
      <c r="AF627" s="1119"/>
      <c r="AG627" s="1120"/>
      <c r="AH627" s="1120"/>
      <c r="AI627" s="1120"/>
      <c r="AJ627" s="1121"/>
      <c r="AK627" s="1239"/>
      <c r="AL627" s="1240"/>
      <c r="AM627" s="1240"/>
      <c r="AN627" s="1241"/>
      <c r="AO627" s="1129"/>
      <c r="AP627" s="1129"/>
      <c r="AQ627" s="1129"/>
      <c r="AR627" s="1129"/>
      <c r="AS627" s="1129"/>
      <c r="AT627" s="964" t="str">
        <f t="shared" si="21"/>
        <v/>
      </c>
      <c r="AU627" s="41"/>
      <c r="AV627" s="41"/>
      <c r="AW627" s="41"/>
      <c r="AX627" s="41"/>
      <c r="AY627" s="41"/>
      <c r="AZ627" s="41"/>
      <c r="BN627" s="1255">
        <f t="shared" si="23"/>
        <v>0</v>
      </c>
      <c r="BO627" s="1256"/>
      <c r="BP627" s="1256"/>
      <c r="BQ627" s="1256"/>
      <c r="BR627" s="1257"/>
      <c r="BS627" s="1255">
        <f t="shared" si="24"/>
        <v>0</v>
      </c>
      <c r="BT627" s="1256"/>
      <c r="BU627" s="1256"/>
      <c r="BV627" s="1256"/>
      <c r="BW627" s="1257"/>
      <c r="BX627" s="1255">
        <f t="shared" si="25"/>
        <v>0</v>
      </c>
      <c r="BY627" s="1256"/>
      <c r="BZ627" s="1256"/>
      <c r="CA627" s="1256"/>
      <c r="CB627" s="1257"/>
      <c r="CC627" s="1255">
        <f t="shared" si="26"/>
        <v>0</v>
      </c>
      <c r="CD627" s="1256"/>
      <c r="CE627" s="1256"/>
      <c r="CF627" s="1256"/>
      <c r="CG627" s="1257"/>
      <c r="CH627" s="1255">
        <f t="shared" si="27"/>
        <v>0</v>
      </c>
      <c r="CI627" s="1256"/>
      <c r="CJ627" s="1256"/>
      <c r="CK627" s="1256"/>
      <c r="CL627" s="1257"/>
      <c r="CM627" s="1255">
        <f t="shared" si="28"/>
        <v>0</v>
      </c>
      <c r="CN627" s="1256"/>
      <c r="CO627" s="1256"/>
      <c r="CP627" s="1256"/>
      <c r="CQ627" s="1257"/>
      <c r="CR627" s="41"/>
      <c r="CS627" s="41"/>
    </row>
    <row r="628" spans="1:97" ht="12.95" customHeight="1">
      <c r="B628" s="58" t="s">
        <v>36</v>
      </c>
      <c r="C628" s="1420"/>
      <c r="D628" s="1420"/>
      <c r="E628" s="1420"/>
      <c r="F628" s="1420"/>
      <c r="G628" s="1420"/>
      <c r="H628" s="1420"/>
      <c r="I628" s="1420"/>
      <c r="J628" s="1420"/>
      <c r="K628" s="1420"/>
      <c r="L628" s="1420"/>
      <c r="M628" s="1245" t="s">
        <v>2076</v>
      </c>
      <c r="N628" s="1245"/>
      <c r="O628" s="1245"/>
      <c r="P628" s="1245"/>
      <c r="Q628" s="1246"/>
      <c r="R628" s="1247"/>
      <c r="S628" s="1248"/>
      <c r="T628" s="1249"/>
      <c r="U628" s="1250"/>
      <c r="V628" s="1251"/>
      <c r="W628" s="1252"/>
      <c r="X628" s="1253"/>
      <c r="Y628" s="1254"/>
      <c r="Z628" s="1242" t="s">
        <v>2076</v>
      </c>
      <c r="AA628" s="1243"/>
      <c r="AB628" s="1244"/>
      <c r="AC628" s="1236"/>
      <c r="AD628" s="1237"/>
      <c r="AE628" s="1238"/>
      <c r="AF628" s="1119"/>
      <c r="AG628" s="1120"/>
      <c r="AH628" s="1120"/>
      <c r="AI628" s="1120"/>
      <c r="AJ628" s="1121"/>
      <c r="AK628" s="1239"/>
      <c r="AL628" s="1240"/>
      <c r="AM628" s="1240"/>
      <c r="AN628" s="1241"/>
      <c r="AO628" s="1129"/>
      <c r="AP628" s="1129"/>
      <c r="AQ628" s="1129"/>
      <c r="AR628" s="1129"/>
      <c r="AS628" s="1129"/>
      <c r="AT628" s="964" t="str">
        <f t="shared" si="21"/>
        <v/>
      </c>
      <c r="AU628" s="41"/>
      <c r="AV628" s="41"/>
      <c r="AW628" s="41"/>
      <c r="AX628" s="41"/>
      <c r="AY628" s="41"/>
      <c r="AZ628" s="41"/>
      <c r="BN628" s="1255">
        <f t="shared" si="23"/>
        <v>0</v>
      </c>
      <c r="BO628" s="1256"/>
      <c r="BP628" s="1256"/>
      <c r="BQ628" s="1256"/>
      <c r="BR628" s="1257"/>
      <c r="BS628" s="1255">
        <f t="shared" si="24"/>
        <v>0</v>
      </c>
      <c r="BT628" s="1256"/>
      <c r="BU628" s="1256"/>
      <c r="BV628" s="1256"/>
      <c r="BW628" s="1257"/>
      <c r="BX628" s="1255">
        <f t="shared" si="25"/>
        <v>0</v>
      </c>
      <c r="BY628" s="1256"/>
      <c r="BZ628" s="1256"/>
      <c r="CA628" s="1256"/>
      <c r="CB628" s="1257"/>
      <c r="CC628" s="1255">
        <f t="shared" si="26"/>
        <v>0</v>
      </c>
      <c r="CD628" s="1256"/>
      <c r="CE628" s="1256"/>
      <c r="CF628" s="1256"/>
      <c r="CG628" s="1257"/>
      <c r="CH628" s="1255">
        <f t="shared" si="27"/>
        <v>0</v>
      </c>
      <c r="CI628" s="1256"/>
      <c r="CJ628" s="1256"/>
      <c r="CK628" s="1256"/>
      <c r="CL628" s="1257"/>
      <c r="CM628" s="1255">
        <f t="shared" si="28"/>
        <v>0</v>
      </c>
      <c r="CN628" s="1256"/>
      <c r="CO628" s="1256"/>
      <c r="CP628" s="1256"/>
      <c r="CQ628" s="1257"/>
      <c r="CR628" s="41"/>
      <c r="CS628" s="41"/>
    </row>
    <row r="629" spans="1:97" ht="12.95" customHeight="1">
      <c r="B629" s="58" t="s">
        <v>37</v>
      </c>
      <c r="C629" s="1420"/>
      <c r="D629" s="1420"/>
      <c r="E629" s="1420"/>
      <c r="F629" s="1420"/>
      <c r="G629" s="1420"/>
      <c r="H629" s="1420"/>
      <c r="I629" s="1420"/>
      <c r="J629" s="1420"/>
      <c r="K629" s="1420"/>
      <c r="L629" s="1420"/>
      <c r="M629" s="1245" t="s">
        <v>2076</v>
      </c>
      <c r="N629" s="1245"/>
      <c r="O629" s="1245"/>
      <c r="P629" s="1245"/>
      <c r="Q629" s="1246"/>
      <c r="R629" s="1247"/>
      <c r="S629" s="1248"/>
      <c r="T629" s="1249"/>
      <c r="U629" s="1250"/>
      <c r="V629" s="1251"/>
      <c r="W629" s="1252"/>
      <c r="X629" s="1253"/>
      <c r="Y629" s="1254"/>
      <c r="Z629" s="1242" t="s">
        <v>2076</v>
      </c>
      <c r="AA629" s="1243"/>
      <c r="AB629" s="1244"/>
      <c r="AC629" s="1236"/>
      <c r="AD629" s="1237"/>
      <c r="AE629" s="1238"/>
      <c r="AF629" s="1119"/>
      <c r="AG629" s="1120"/>
      <c r="AH629" s="1120"/>
      <c r="AI629" s="1120"/>
      <c r="AJ629" s="1121"/>
      <c r="AK629" s="1239"/>
      <c r="AL629" s="1240"/>
      <c r="AM629" s="1240"/>
      <c r="AN629" s="1241"/>
      <c r="AO629" s="1129"/>
      <c r="AP629" s="1129"/>
      <c r="AQ629" s="1129"/>
      <c r="AR629" s="1129"/>
      <c r="AS629" s="1129"/>
      <c r="AT629" s="964" t="str">
        <f t="shared" si="21"/>
        <v/>
      </c>
      <c r="AU629" s="43"/>
      <c r="AV629" s="43"/>
      <c r="AW629" s="43"/>
      <c r="AX629" s="43"/>
      <c r="AY629" s="43"/>
      <c r="AZ629" s="43"/>
      <c r="BN629" s="1255">
        <f t="shared" si="23"/>
        <v>0</v>
      </c>
      <c r="BO629" s="1256"/>
      <c r="BP629" s="1256"/>
      <c r="BQ629" s="1256"/>
      <c r="BR629" s="1257"/>
      <c r="BS629" s="1255">
        <f t="shared" si="24"/>
        <v>0</v>
      </c>
      <c r="BT629" s="1256"/>
      <c r="BU629" s="1256"/>
      <c r="BV629" s="1256"/>
      <c r="BW629" s="1257"/>
      <c r="BX629" s="1255">
        <f t="shared" si="25"/>
        <v>0</v>
      </c>
      <c r="BY629" s="1256"/>
      <c r="BZ629" s="1256"/>
      <c r="CA629" s="1256"/>
      <c r="CB629" s="1257"/>
      <c r="CC629" s="1255">
        <f t="shared" si="26"/>
        <v>0</v>
      </c>
      <c r="CD629" s="1256"/>
      <c r="CE629" s="1256"/>
      <c r="CF629" s="1256"/>
      <c r="CG629" s="1257"/>
      <c r="CH629" s="1255">
        <f t="shared" si="27"/>
        <v>0</v>
      </c>
      <c r="CI629" s="1256"/>
      <c r="CJ629" s="1256"/>
      <c r="CK629" s="1256"/>
      <c r="CL629" s="1257"/>
      <c r="CM629" s="1255">
        <f t="shared" si="28"/>
        <v>0</v>
      </c>
      <c r="CN629" s="1256"/>
      <c r="CO629" s="1256"/>
      <c r="CP629" s="1256"/>
      <c r="CQ629" s="1257"/>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20731292</v>
      </c>
      <c r="AP630" s="1158"/>
      <c r="AQ630" s="1158"/>
      <c r="AR630" s="1158"/>
      <c r="AS630" s="1159"/>
      <c r="AT630" s="43"/>
      <c r="AU630" s="43"/>
      <c r="AV630" s="43"/>
      <c r="AW630" s="43"/>
      <c r="AX630" s="43"/>
      <c r="AY630" s="43"/>
      <c r="AZ630" s="43"/>
      <c r="BN630" s="1255">
        <f t="shared" si="23"/>
        <v>0</v>
      </c>
      <c r="BO630" s="1256"/>
      <c r="BP630" s="1256"/>
      <c r="BQ630" s="1256"/>
      <c r="BR630" s="1257"/>
      <c r="BS630" s="1255">
        <f t="shared" si="24"/>
        <v>0</v>
      </c>
      <c r="BT630" s="1256"/>
      <c r="BU630" s="1256"/>
      <c r="BV630" s="1256"/>
      <c r="BW630" s="1257"/>
      <c r="BX630" s="1255">
        <f t="shared" si="25"/>
        <v>0</v>
      </c>
      <c r="BY630" s="1256"/>
      <c r="BZ630" s="1256"/>
      <c r="CA630" s="1256"/>
      <c r="CB630" s="1257"/>
      <c r="CC630" s="1255">
        <f t="shared" si="26"/>
        <v>0</v>
      </c>
      <c r="CD630" s="1256"/>
      <c r="CE630" s="1256"/>
      <c r="CF630" s="1256"/>
      <c r="CG630" s="1257"/>
      <c r="CH630" s="1255">
        <f t="shared" si="27"/>
        <v>0</v>
      </c>
      <c r="CI630" s="1256"/>
      <c r="CJ630" s="1256"/>
      <c r="CK630" s="1256"/>
      <c r="CL630" s="1257"/>
      <c r="CM630" s="1255">
        <f t="shared" si="28"/>
        <v>0</v>
      </c>
      <c r="CN630" s="1256"/>
      <c r="CO630" s="1256"/>
      <c r="CP630" s="1256"/>
      <c r="CQ630" s="1257"/>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24006448</v>
      </c>
      <c r="AP631" s="1167"/>
      <c r="AQ631" s="1167"/>
      <c r="AR631" s="1167"/>
      <c r="AS631" s="1168"/>
      <c r="AT631" s="43"/>
      <c r="AU631" s="43"/>
      <c r="AV631" s="43"/>
      <c r="AW631" s="43"/>
      <c r="AX631" s="43"/>
      <c r="AY631" s="43"/>
      <c r="AZ631" s="43"/>
      <c r="BN631" s="1255">
        <f t="shared" si="23"/>
        <v>0</v>
      </c>
      <c r="BO631" s="1256"/>
      <c r="BP631" s="1256"/>
      <c r="BQ631" s="1256"/>
      <c r="BR631" s="1257"/>
      <c r="BS631" s="1255">
        <f t="shared" si="24"/>
        <v>0</v>
      </c>
      <c r="BT631" s="1256"/>
      <c r="BU631" s="1256"/>
      <c r="BV631" s="1256"/>
      <c r="BW631" s="1257"/>
      <c r="BX631" s="1255">
        <f t="shared" si="25"/>
        <v>0</v>
      </c>
      <c r="BY631" s="1256"/>
      <c r="BZ631" s="1256"/>
      <c r="CA631" s="1256"/>
      <c r="CB631" s="1257"/>
      <c r="CC631" s="1255">
        <f t="shared" si="26"/>
        <v>0</v>
      </c>
      <c r="CD631" s="1256"/>
      <c r="CE631" s="1256"/>
      <c r="CF631" s="1256"/>
      <c r="CG631" s="1257"/>
      <c r="CH631" s="1255">
        <f t="shared" si="27"/>
        <v>0</v>
      </c>
      <c r="CI631" s="1256"/>
      <c r="CJ631" s="1256"/>
      <c r="CK631" s="1256"/>
      <c r="CL631" s="1257"/>
      <c r="CM631" s="1255">
        <f t="shared" si="28"/>
        <v>0</v>
      </c>
      <c r="CN631" s="1256"/>
      <c r="CO631" s="1256"/>
      <c r="CP631" s="1256"/>
      <c r="CQ631" s="1257"/>
      <c r="CR631" s="41"/>
      <c r="CS631" s="41"/>
    </row>
    <row r="632" spans="1:97" ht="12.95" customHeight="1">
      <c r="B632" s="1421" t="s">
        <v>983</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57">
        <f>AO630+AO631</f>
        <v>44737740</v>
      </c>
      <c r="AP632" s="1158"/>
      <c r="AQ632" s="1158"/>
      <c r="AR632" s="1158"/>
      <c r="AS632" s="1159"/>
      <c r="AT632" s="43"/>
      <c r="AU632" s="43"/>
      <c r="AV632" s="43"/>
      <c r="AW632" s="43"/>
      <c r="AX632" s="43"/>
      <c r="AY632" s="43"/>
      <c r="AZ632" s="43"/>
      <c r="BN632" s="1258">
        <f>SUM(BN622:BR631)</f>
        <v>0</v>
      </c>
      <c r="BO632" s="1259"/>
      <c r="BP632" s="1259"/>
      <c r="BQ632" s="1259"/>
      <c r="BR632" s="1260"/>
      <c r="BS632" s="1258">
        <f>SUM(BS622:BW631)</f>
        <v>0</v>
      </c>
      <c r="BT632" s="1259"/>
      <c r="BU632" s="1259"/>
      <c r="BV632" s="1259"/>
      <c r="BW632" s="1260"/>
      <c r="BX632" s="1258">
        <f>SUM(BX622:CB631)</f>
        <v>0</v>
      </c>
      <c r="BY632" s="1259"/>
      <c r="BZ632" s="1259"/>
      <c r="CA632" s="1259"/>
      <c r="CB632" s="1260"/>
      <c r="CC632" s="1258">
        <f>SUM(CC622:CG631)</f>
        <v>0</v>
      </c>
      <c r="CD632" s="1259"/>
      <c r="CE632" s="1259"/>
      <c r="CF632" s="1259"/>
      <c r="CG632" s="1260"/>
      <c r="CH632" s="1258">
        <f>SUM(CH622:CL631)</f>
        <v>0</v>
      </c>
      <c r="CI632" s="1259"/>
      <c r="CJ632" s="1259"/>
      <c r="CK632" s="1259"/>
      <c r="CL632" s="1260"/>
      <c r="CM632" s="1258">
        <f>SUM(CM622:CQ631)</f>
        <v>0</v>
      </c>
      <c r="CN632" s="1259"/>
      <c r="CO632" s="1259"/>
      <c r="CP632" s="1259"/>
      <c r="CQ632" s="126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78">
        <f>BN632*1</f>
        <v>0</v>
      </c>
      <c r="BS633" s="41"/>
      <c r="BT633" s="41"/>
      <c r="BU633" s="41"/>
      <c r="BV633" s="41"/>
      <c r="BW633" s="478">
        <f>BS632*1</f>
        <v>0</v>
      </c>
      <c r="BX633" s="41"/>
      <c r="BY633" s="41"/>
      <c r="BZ633" s="41"/>
      <c r="CA633" s="41"/>
      <c r="CB633" s="478">
        <f>BX632*2</f>
        <v>0</v>
      </c>
      <c r="CC633" s="41"/>
      <c r="CD633" s="41"/>
      <c r="CE633" s="41"/>
      <c r="CF633" s="41"/>
      <c r="CG633" s="478">
        <f>CC632*3</f>
        <v>0</v>
      </c>
      <c r="CH633" s="41"/>
      <c r="CI633" s="41"/>
      <c r="CJ633" s="41"/>
      <c r="CK633" s="41"/>
      <c r="CL633" s="478">
        <f>CH632*4</f>
        <v>0</v>
      </c>
      <c r="CM633" s="41"/>
      <c r="CN633" s="41"/>
      <c r="CO633" s="41"/>
      <c r="CP633" s="41"/>
      <c r="CQ633" s="477">
        <f>CM632*5</f>
        <v>0</v>
      </c>
      <c r="CR633" s="41"/>
      <c r="CS633" s="41"/>
    </row>
    <row r="634" spans="1:97" ht="12.95" customHeight="1" thickBot="1">
      <c r="A634" s="61" t="s">
        <v>943</v>
      </c>
      <c r="B634" t="s">
        <v>90</v>
      </c>
      <c r="G634" s="1189" t="str">
        <f>C618</f>
        <v>East West Bank</v>
      </c>
      <c r="H634" s="1189"/>
      <c r="I634" s="1189"/>
      <c r="J634" s="1189"/>
      <c r="K634" s="1189"/>
      <c r="L634" s="1189"/>
      <c r="M634" s="1189"/>
      <c r="N634" s="1189"/>
      <c r="O634" s="1189"/>
      <c r="P634" s="1189"/>
      <c r="Q634" s="1189"/>
      <c r="R634" s="1189"/>
      <c r="S634" s="12"/>
      <c r="T634" s="61" t="s">
        <v>944</v>
      </c>
      <c r="U634" t="s">
        <v>90</v>
      </c>
      <c r="Z634" s="1189" t="str">
        <f>C619</f>
        <v>DHI Guarantor, LLC</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1801</v>
      </c>
      <c r="CQ634" s="479">
        <f>BN632+BS632+BX632+CC632+CH632+CM632</f>
        <v>0</v>
      </c>
      <c r="CR634" s="41"/>
      <c r="CS634" s="41"/>
    </row>
    <row r="635" spans="1:97" ht="12.95" customHeight="1" thickBot="1">
      <c r="A635" s="4"/>
      <c r="B635" t="s">
        <v>397</v>
      </c>
      <c r="G635" s="1233" t="str">
        <f>G561</f>
        <v>4790 Freeport Boulevard</v>
      </c>
      <c r="H635" s="1233"/>
      <c r="I635" s="1233"/>
      <c r="J635" s="1233"/>
      <c r="K635" s="1233"/>
      <c r="L635" s="1233"/>
      <c r="M635" s="1233"/>
      <c r="N635" s="1233"/>
      <c r="O635" s="1233"/>
      <c r="P635" s="1233"/>
      <c r="Q635" s="1233"/>
      <c r="R635" s="1233"/>
      <c r="S635" s="12"/>
      <c r="T635" s="4"/>
      <c r="U635" t="s">
        <v>397</v>
      </c>
      <c r="Z635" s="1233" t="str">
        <f>Z561</f>
        <v>7250 Redwood Blvd, Suite 214</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tr">
        <f t="shared" ref="G636:G637" si="29">G562</f>
        <v>Sacramento</v>
      </c>
      <c r="H636" s="1233"/>
      <c r="I636" s="1233"/>
      <c r="J636" s="1233"/>
      <c r="K636" s="1233"/>
      <c r="L636" s="1233"/>
      <c r="M636" s="1233"/>
      <c r="N636" s="1233"/>
      <c r="O636" s="1233"/>
      <c r="P636" s="1233"/>
      <c r="Q636" s="1233"/>
      <c r="R636" s="1233"/>
      <c r="T636" s="4"/>
      <c r="U636" t="s">
        <v>459</v>
      </c>
      <c r="Z636" s="1235" t="str">
        <f t="shared" ref="Z636:Z637" si="30">Z562</f>
        <v>Novato</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1803</v>
      </c>
      <c r="CQ636" s="479">
        <f>CQ634+CQ615</f>
        <v>130</v>
      </c>
      <c r="CR636" s="41"/>
      <c r="CS636" s="41"/>
    </row>
    <row r="637" spans="1:97" ht="12.95" customHeight="1">
      <c r="A637" s="4"/>
      <c r="B637" t="s">
        <v>873</v>
      </c>
      <c r="G637" s="1233" t="str">
        <f t="shared" si="29"/>
        <v>John Chan</v>
      </c>
      <c r="H637" s="1233"/>
      <c r="I637" s="1233"/>
      <c r="J637" s="1233"/>
      <c r="K637" s="1233"/>
      <c r="L637" s="1233"/>
      <c r="M637" s="1233"/>
      <c r="N637" s="1233"/>
      <c r="O637" s="1233"/>
      <c r="P637" s="1233"/>
      <c r="Q637" s="1233"/>
      <c r="R637" s="1233"/>
      <c r="S637" s="12"/>
      <c r="T637" s="4"/>
      <c r="U637" t="s">
        <v>873</v>
      </c>
      <c r="Z637" s="1235" t="str">
        <f t="shared" si="30"/>
        <v>Justin Solomon</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4" t="str">
        <f>G564</f>
        <v>(916) 212-2588</v>
      </c>
      <c r="H638" s="1234"/>
      <c r="I638" s="1234"/>
      <c r="J638" s="1234"/>
      <c r="K638" s="1234"/>
      <c r="L638" s="1234"/>
      <c r="O638" s="42" t="s">
        <v>858</v>
      </c>
      <c r="P638" s="1231"/>
      <c r="Q638" s="1231"/>
      <c r="R638" s="1231"/>
      <c r="S638" s="14"/>
      <c r="T638" s="4"/>
      <c r="U638" t="s">
        <v>685</v>
      </c>
      <c r="Z638" s="1234" t="str">
        <f>Z564</f>
        <v>(415) 609-5352</v>
      </c>
      <c r="AA638" s="1234"/>
      <c r="AB638" s="1234"/>
      <c r="AC638" s="1234"/>
      <c r="AD638" s="1234"/>
      <c r="AE638" s="1234"/>
      <c r="AH638" s="42" t="s">
        <v>858</v>
      </c>
      <c r="AI638" s="1231"/>
      <c r="AJ638" s="1231"/>
      <c r="AK638" s="1231"/>
      <c r="AM638" s="43"/>
      <c r="AN638" s="43"/>
      <c r="AO638" s="43"/>
      <c r="AP638" s="43"/>
      <c r="AQ638" s="43"/>
      <c r="AR638" s="43"/>
      <c r="AS638" s="43"/>
      <c r="AT638" s="43"/>
      <c r="AU638" s="43"/>
      <c r="AV638" s="43"/>
      <c r="AW638" s="43"/>
      <c r="AX638" s="43"/>
      <c r="AY638" s="43"/>
      <c r="AZ638" s="43"/>
      <c r="BN638" s="1258">
        <f>BN613+BN620+BN632</f>
        <v>2</v>
      </c>
      <c r="BO638" s="1259"/>
      <c r="BP638" s="1259"/>
      <c r="BQ638" s="1259"/>
      <c r="BR638" s="1260"/>
      <c r="BS638" s="1258">
        <f>BS613+BS620+BS632</f>
        <v>16</v>
      </c>
      <c r="BT638" s="1259"/>
      <c r="BU638" s="1259"/>
      <c r="BV638" s="1259"/>
      <c r="BW638" s="1260"/>
      <c r="BX638" s="1258">
        <f>BX613+BX620+BX632</f>
        <v>53</v>
      </c>
      <c r="BY638" s="1259"/>
      <c r="BZ638" s="1259"/>
      <c r="CA638" s="1259"/>
      <c r="CB638" s="1260"/>
      <c r="CC638" s="1258">
        <f>CC613+CC620+CC632</f>
        <v>2</v>
      </c>
      <c r="CD638" s="1259"/>
      <c r="CE638" s="1259"/>
      <c r="CF638" s="1259"/>
      <c r="CG638" s="1260"/>
      <c r="CH638" s="1258">
        <f>CH613+CH620+CH632</f>
        <v>0</v>
      </c>
      <c r="CI638" s="1259"/>
      <c r="CJ638" s="1259"/>
      <c r="CK638" s="1259"/>
      <c r="CL638" s="1260"/>
      <c r="CM638" s="1261">
        <f>CM632+CM620+CM613</f>
        <v>0</v>
      </c>
      <c r="CN638" s="1262"/>
      <c r="CO638" s="1262"/>
      <c r="CP638" s="1262"/>
      <c r="CQ638" s="1263"/>
      <c r="CR638" s="41"/>
      <c r="CS638" s="41"/>
    </row>
    <row r="639" spans="1:97" ht="12.95" customHeight="1">
      <c r="A639" s="4"/>
      <c r="B639" t="s">
        <v>874</v>
      </c>
      <c r="H639" s="1233" t="s">
        <v>2448</v>
      </c>
      <c r="I639" s="1233"/>
      <c r="J639" s="1233"/>
      <c r="K639" s="1233"/>
      <c r="L639" s="1233"/>
      <c r="M639" s="1233"/>
      <c r="N639" s="1233"/>
      <c r="O639" s="1233"/>
      <c r="P639" s="1233"/>
      <c r="Q639" s="1233"/>
      <c r="R639" s="1233"/>
      <c r="S639" s="12"/>
      <c r="T639" s="4"/>
      <c r="U639" t="s">
        <v>874</v>
      </c>
      <c r="AA639" s="1233" t="s">
        <v>2449</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2" t="s">
        <v>116</v>
      </c>
      <c r="O640" s="1232"/>
      <c r="T640" s="4"/>
      <c r="U640" t="s">
        <v>876</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89" t="str">
        <f>C620</f>
        <v>Cash Flow From Operations</v>
      </c>
      <c r="H642" s="1189"/>
      <c r="I642" s="1189"/>
      <c r="J642" s="1189"/>
      <c r="K642" s="1189"/>
      <c r="L642" s="1189"/>
      <c r="M642" s="1189"/>
      <c r="N642" s="1189"/>
      <c r="O642" s="1189"/>
      <c r="P642" s="1189"/>
      <c r="Q642" s="1189"/>
      <c r="R642" s="1189"/>
      <c r="T642" s="61" t="s">
        <v>460</v>
      </c>
      <c r="U642" t="s">
        <v>90</v>
      </c>
      <c r="Z642" s="1189" t="str">
        <f>C621</f>
        <v>Deferred Developer Fee</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t="str">
        <f>Z635</f>
        <v>7250 Redwood Blvd, Suite 214</v>
      </c>
      <c r="H643" s="1233"/>
      <c r="I643" s="1233"/>
      <c r="J643" s="1233"/>
      <c r="K643" s="1233"/>
      <c r="L643" s="1233"/>
      <c r="M643" s="1233"/>
      <c r="N643" s="1233"/>
      <c r="O643" s="1233"/>
      <c r="P643" s="1233"/>
      <c r="Q643" s="1233"/>
      <c r="R643" s="1233"/>
      <c r="T643" s="4"/>
      <c r="U643" t="s">
        <v>397</v>
      </c>
      <c r="Z643" s="1233" t="str">
        <f>Z635</f>
        <v>7250 Redwood Blvd, Suite 214</v>
      </c>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t="str">
        <f t="shared" ref="G644:G645" si="31">Z636</f>
        <v>Novato</v>
      </c>
      <c r="H644" s="1235"/>
      <c r="I644" s="1235"/>
      <c r="J644" s="1235"/>
      <c r="K644" s="1235"/>
      <c r="L644" s="1235"/>
      <c r="M644" s="1235"/>
      <c r="N644" s="1235"/>
      <c r="O644" s="1235"/>
      <c r="P644" s="1235"/>
      <c r="Q644" s="1235"/>
      <c r="R644" s="1235"/>
      <c r="T644" s="4"/>
      <c r="U644" t="s">
        <v>459</v>
      </c>
      <c r="Z644" s="1235" t="str">
        <f t="shared" ref="Z644:Z645" si="32">Z636</f>
        <v>Novato</v>
      </c>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5" t="str">
        <f t="shared" si="31"/>
        <v>Justin Solomon</v>
      </c>
      <c r="H645" s="1235"/>
      <c r="I645" s="1235"/>
      <c r="J645" s="1235"/>
      <c r="K645" s="1235"/>
      <c r="L645" s="1235"/>
      <c r="M645" s="1235"/>
      <c r="N645" s="1235"/>
      <c r="O645" s="1235"/>
      <c r="P645" s="1235"/>
      <c r="Q645" s="1235"/>
      <c r="R645" s="1235"/>
      <c r="T645" s="4"/>
      <c r="U645" t="s">
        <v>873</v>
      </c>
      <c r="Z645" s="1235" t="str">
        <f t="shared" si="32"/>
        <v>Justin Solomon</v>
      </c>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4" t="str">
        <f>Z638</f>
        <v>(415) 609-5352</v>
      </c>
      <c r="H646" s="1234"/>
      <c r="I646" s="1234"/>
      <c r="J646" s="1234"/>
      <c r="K646" s="1234"/>
      <c r="L646" s="1234"/>
      <c r="O646" s="42" t="s">
        <v>858</v>
      </c>
      <c r="P646" s="1231"/>
      <c r="Q646" s="1231"/>
      <c r="R646" s="1231"/>
      <c r="T646" s="4"/>
      <c r="U646" t="s">
        <v>685</v>
      </c>
      <c r="Z646" s="1234" t="str">
        <f>Z638</f>
        <v>(415) 609-5352</v>
      </c>
      <c r="AA646" s="1234"/>
      <c r="AB646" s="1234"/>
      <c r="AC646" s="1234"/>
      <c r="AD646" s="1234"/>
      <c r="AE646" s="1234"/>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3" t="str">
        <f>H581</f>
        <v>Cash Flow from Operations</v>
      </c>
      <c r="I647" s="1233"/>
      <c r="J647" s="1233"/>
      <c r="K647" s="1233"/>
      <c r="L647" s="1233"/>
      <c r="M647" s="1233"/>
      <c r="N647" s="1233"/>
      <c r="O647" s="1233"/>
      <c r="P647" s="1233"/>
      <c r="Q647" s="1233"/>
      <c r="R647" s="1233"/>
      <c r="T647" s="4"/>
      <c r="U647" t="s">
        <v>874</v>
      </c>
      <c r="AA647" s="1233" t="s">
        <v>2446</v>
      </c>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2" t="s">
        <v>116</v>
      </c>
      <c r="O648" s="1232"/>
      <c r="T648" s="4"/>
      <c r="U648" t="s">
        <v>876</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c r="H651" s="1233"/>
      <c r="I651" s="1233"/>
      <c r="J651" s="1233"/>
      <c r="K651" s="1233"/>
      <c r="L651" s="1233"/>
      <c r="M651" s="1233"/>
      <c r="N651" s="1233"/>
      <c r="O651" s="1233"/>
      <c r="P651" s="1233"/>
      <c r="Q651" s="1233"/>
      <c r="R651" s="1233"/>
      <c r="T651" s="4"/>
      <c r="U651" t="s">
        <v>397</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c r="H652" s="1233"/>
      <c r="I652" s="1233"/>
      <c r="J652" s="1233"/>
      <c r="K652" s="1233"/>
      <c r="L652" s="1233"/>
      <c r="M652" s="1233"/>
      <c r="N652" s="1233"/>
      <c r="O652" s="1233"/>
      <c r="P652" s="1233"/>
      <c r="Q652" s="1233"/>
      <c r="R652" s="1233"/>
      <c r="T652" s="4"/>
      <c r="U652" t="s">
        <v>459</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3"/>
      <c r="H653" s="1233"/>
      <c r="I653" s="1233"/>
      <c r="J653" s="1233"/>
      <c r="K653" s="1233"/>
      <c r="L653" s="1233"/>
      <c r="M653" s="1233"/>
      <c r="N653" s="1233"/>
      <c r="O653" s="1233"/>
      <c r="P653" s="1233"/>
      <c r="Q653" s="1233"/>
      <c r="R653" s="1233"/>
      <c r="T653" s="4"/>
      <c r="U653" t="s">
        <v>873</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4"/>
      <c r="H654" s="1234"/>
      <c r="I654" s="1234"/>
      <c r="J654" s="1234"/>
      <c r="K654" s="1234"/>
      <c r="L654" s="1234"/>
      <c r="O654" s="42" t="s">
        <v>858</v>
      </c>
      <c r="P654" s="1231"/>
      <c r="Q654" s="1231"/>
      <c r="R654" s="1231"/>
      <c r="T654" s="4"/>
      <c r="U654" t="s">
        <v>685</v>
      </c>
      <c r="Z654" s="1234"/>
      <c r="AA654" s="1234"/>
      <c r="AB654" s="1234"/>
      <c r="AC654" s="1234"/>
      <c r="AD654" s="1234"/>
      <c r="AE654" s="1234"/>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3"/>
      <c r="I655" s="1233"/>
      <c r="J655" s="1233"/>
      <c r="K655" s="1233"/>
      <c r="L655" s="1233"/>
      <c r="M655" s="1233"/>
      <c r="N655" s="1233"/>
      <c r="O655" s="1233"/>
      <c r="P655" s="1233"/>
      <c r="Q655" s="1233"/>
      <c r="R655" s="1233"/>
      <c r="T655" s="4"/>
      <c r="U655" t="s">
        <v>874</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2" t="s">
        <v>511</v>
      </c>
      <c r="O656" s="1232"/>
      <c r="T656" s="4"/>
      <c r="U656" t="s">
        <v>876</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3"/>
      <c r="H661" s="1233"/>
      <c r="I661" s="1233"/>
      <c r="J661" s="1233"/>
      <c r="K661" s="1233"/>
      <c r="L661" s="1233"/>
      <c r="M661" s="1233"/>
      <c r="N661" s="1233"/>
      <c r="O661" s="1233"/>
      <c r="P661" s="1233"/>
      <c r="Q661" s="1233"/>
      <c r="R661" s="1233"/>
      <c r="T661" s="4"/>
      <c r="U661" t="s">
        <v>873</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4"/>
      <c r="H662" s="1234"/>
      <c r="I662" s="1234"/>
      <c r="J662" s="1234"/>
      <c r="K662" s="1234"/>
      <c r="L662" s="1234"/>
      <c r="O662" s="42" t="s">
        <v>858</v>
      </c>
      <c r="P662" s="1231"/>
      <c r="Q662" s="1231"/>
      <c r="R662" s="1231"/>
      <c r="T662" s="4"/>
      <c r="U662" t="s">
        <v>685</v>
      </c>
      <c r="Z662" s="1234"/>
      <c r="AA662" s="1234"/>
      <c r="AB662" s="1234"/>
      <c r="AC662" s="1234"/>
      <c r="AD662" s="1234"/>
      <c r="AE662" s="1234"/>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2" t="s">
        <v>511</v>
      </c>
      <c r="O664" s="1232"/>
      <c r="T664" s="4"/>
      <c r="U664" t="s">
        <v>876</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3"/>
      <c r="H669" s="1233"/>
      <c r="I669" s="1233"/>
      <c r="J669" s="1233"/>
      <c r="K669" s="1233"/>
      <c r="L669" s="1233"/>
      <c r="M669" s="1233"/>
      <c r="N669" s="1233"/>
      <c r="O669" s="1233"/>
      <c r="P669" s="1233"/>
      <c r="Q669" s="1233"/>
      <c r="R669" s="1233"/>
      <c r="T669" s="4"/>
      <c r="U669" t="s">
        <v>873</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4"/>
      <c r="H670" s="1234"/>
      <c r="I670" s="1234"/>
      <c r="J670" s="1234"/>
      <c r="K670" s="1234"/>
      <c r="L670" s="1234"/>
      <c r="O670" s="42" t="s">
        <v>858</v>
      </c>
      <c r="P670" s="1231"/>
      <c r="Q670" s="1231"/>
      <c r="R670" s="1231"/>
      <c r="T670" s="4"/>
      <c r="U670" t="s">
        <v>685</v>
      </c>
      <c r="Z670" s="1234"/>
      <c r="AA670" s="1234"/>
      <c r="AB670" s="1234"/>
      <c r="AC670" s="1234"/>
      <c r="AD670" s="1234"/>
      <c r="AE670" s="1234"/>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68"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2" t="s">
        <v>511</v>
      </c>
      <c r="O672" s="1232"/>
      <c r="T672" s="4"/>
      <c r="U672" t="s">
        <v>876</v>
      </c>
      <c r="AG672" s="1232" t="s">
        <v>511</v>
      </c>
      <c r="AH672" s="1232"/>
      <c r="AM672" s="43"/>
      <c r="BA672" s="43"/>
      <c r="BB672" s="43"/>
      <c r="BC672" s="43"/>
      <c r="BD672" s="43"/>
      <c r="BE672" s="43"/>
      <c r="BF672" s="43"/>
      <c r="BG672" s="43"/>
      <c r="BH672" s="43"/>
      <c r="BI672" s="43"/>
      <c r="BJ672" s="43"/>
      <c r="BK672" s="43"/>
      <c r="BL672" s="43"/>
      <c r="BM672" s="41"/>
      <c r="BN672" s="41"/>
      <c r="BO672" s="41"/>
      <c r="BP672" s="469"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0"/>
      <c r="BQ673" s="315"/>
      <c r="BR673" s="471"/>
      <c r="BS673" s="471"/>
      <c r="BT673" s="471"/>
      <c r="BU673" s="471"/>
      <c r="BV673" s="471"/>
      <c r="BW673" s="471"/>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1182</v>
      </c>
      <c r="BH674" s="43"/>
      <c r="BI674" s="43"/>
      <c r="BJ674" s="43"/>
      <c r="BK674" s="43"/>
      <c r="BL674" s="43"/>
      <c r="BM674" s="41"/>
      <c r="BN674" s="41"/>
      <c r="BO674" s="41"/>
      <c r="BP674" s="583" t="s">
        <v>319</v>
      </c>
      <c r="BQ674" s="584" t="s">
        <v>470</v>
      </c>
      <c r="BR674" s="584" t="s">
        <v>471</v>
      </c>
      <c r="BS674" s="584" t="s">
        <v>816</v>
      </c>
      <c r="BT674" s="584" t="s">
        <v>817</v>
      </c>
      <c r="BU674" s="584" t="s">
        <v>818</v>
      </c>
      <c r="BV674" s="584"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2084</v>
      </c>
      <c r="BB675" s="43"/>
      <c r="BC675" s="43"/>
      <c r="BD675" s="43"/>
      <c r="BE675" s="43"/>
      <c r="BF675" s="43"/>
      <c r="BG675" s="460" t="s">
        <v>1183</v>
      </c>
      <c r="BH675" s="475" t="s">
        <v>1184</v>
      </c>
      <c r="BI675" s="474" t="s">
        <v>1185</v>
      </c>
      <c r="BJ675" s="461"/>
      <c r="BK675" s="43"/>
      <c r="BL675" s="43"/>
      <c r="BM675" s="41"/>
      <c r="BN675" s="41"/>
      <c r="BO675" s="41"/>
      <c r="BP675" s="585" t="s">
        <v>31</v>
      </c>
      <c r="BQ675" s="586">
        <v>2500</v>
      </c>
      <c r="BR675" s="586">
        <v>2678</v>
      </c>
      <c r="BS675" s="586">
        <v>3214</v>
      </c>
      <c r="BT675" s="586">
        <v>3712</v>
      </c>
      <c r="BU675" s="586">
        <v>4142</v>
      </c>
      <c r="BV675" s="586">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f t="shared" ref="BA676:BA699" si="33">IF($G693=0,"N/A",VLOOKUP($T$189,TC_Rent,(MATCH($B693,bedrooms,FALSE))))</f>
        <v>2084</v>
      </c>
      <c r="BB676" s="43"/>
      <c r="BC676" s="43"/>
      <c r="BD676" s="43"/>
      <c r="BE676" s="43"/>
      <c r="BF676" s="43"/>
      <c r="BG676" s="455">
        <f>G692</f>
        <v>1</v>
      </c>
      <c r="BH676" s="462">
        <f>BG676/$BG$701</f>
        <v>1.3698630136986301E-2</v>
      </c>
      <c r="BI676" s="464">
        <f>IF(BH676=0," ",BH676*AH692)</f>
        <v>4.10958904109589E-3</v>
      </c>
      <c r="BJ676" s="43"/>
      <c r="BK676" s="43"/>
      <c r="BL676" s="43"/>
      <c r="BM676" s="41"/>
      <c r="BN676" s="41"/>
      <c r="BO676" s="41"/>
      <c r="BP676" s="587" t="s">
        <v>32</v>
      </c>
      <c r="BQ676" s="586">
        <v>1590</v>
      </c>
      <c r="BR676" s="586">
        <v>1702</v>
      </c>
      <c r="BS676" s="586">
        <v>2044</v>
      </c>
      <c r="BT676" s="586">
        <v>2360</v>
      </c>
      <c r="BU676" s="586">
        <v>2634</v>
      </c>
      <c r="BV676" s="586">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3"/>
      <c r="H677" s="1233"/>
      <c r="I677" s="1233"/>
      <c r="J677" s="1233"/>
      <c r="K677" s="1233"/>
      <c r="L677" s="1233"/>
      <c r="M677" s="1233"/>
      <c r="N677" s="1233"/>
      <c r="O677" s="1233"/>
      <c r="P677" s="1233"/>
      <c r="Q677" s="1233"/>
      <c r="R677" s="1233"/>
      <c r="U677" t="s">
        <v>873</v>
      </c>
      <c r="Z677" s="1235"/>
      <c r="AA677" s="1235"/>
      <c r="AB677" s="1235"/>
      <c r="AC677" s="1235"/>
      <c r="AD677" s="1235"/>
      <c r="AE677" s="1235"/>
      <c r="AF677" s="1235"/>
      <c r="AG677" s="1235"/>
      <c r="AH677" s="1235"/>
      <c r="AI677" s="1235"/>
      <c r="AJ677" s="1235"/>
      <c r="AK677" s="1235"/>
      <c r="AM677" s="43"/>
      <c r="BA677" s="43">
        <f t="shared" si="33"/>
        <v>2232</v>
      </c>
      <c r="BB677" s="43"/>
      <c r="BC677" s="43"/>
      <c r="BD677" s="43"/>
      <c r="BE677" s="43"/>
      <c r="BF677" s="43"/>
      <c r="BG677" s="456">
        <f t="shared" ref="BG677:BG700" si="34">G693</f>
        <v>1</v>
      </c>
      <c r="BH677" s="462">
        <f t="shared" ref="BH677:BH700" si="35">BG677/$BG$701</f>
        <v>1.3698630136986301E-2</v>
      </c>
      <c r="BI677" s="464">
        <f t="shared" ref="BI677:BI700" si="36">IF(BH677=0," ",BH677*AH693)</f>
        <v>6.1643835616438354E-3</v>
      </c>
      <c r="BJ677" s="43"/>
      <c r="BK677" s="43"/>
      <c r="BL677" s="43"/>
      <c r="BM677" s="41"/>
      <c r="BN677" s="41"/>
      <c r="BO677" s="41"/>
      <c r="BP677" s="587" t="s">
        <v>413</v>
      </c>
      <c r="BQ677" s="586">
        <v>1516</v>
      </c>
      <c r="BR677" s="586">
        <v>1624</v>
      </c>
      <c r="BS677" s="586">
        <v>1950</v>
      </c>
      <c r="BT677" s="586">
        <v>2252</v>
      </c>
      <c r="BU677" s="586">
        <v>2512</v>
      </c>
      <c r="BV677" s="586">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4"/>
      <c r="H678" s="1234"/>
      <c r="I678" s="1234"/>
      <c r="J678" s="1234"/>
      <c r="K678" s="1234"/>
      <c r="L678" s="1234"/>
      <c r="O678" s="42" t="s">
        <v>858</v>
      </c>
      <c r="P678" s="1231"/>
      <c r="Q678" s="1231"/>
      <c r="R678" s="1231"/>
      <c r="U678" t="s">
        <v>685</v>
      </c>
      <c r="Z678" s="1234"/>
      <c r="AA678" s="1234"/>
      <c r="AB678" s="1234"/>
      <c r="AC678" s="1234"/>
      <c r="AD678" s="1234"/>
      <c r="AE678" s="1234"/>
      <c r="AH678" s="42" t="s">
        <v>858</v>
      </c>
      <c r="AI678" s="1231"/>
      <c r="AJ678" s="1231"/>
      <c r="AK678" s="1231"/>
      <c r="AM678" s="43"/>
      <c r="BA678" s="43">
        <f t="shared" si="33"/>
        <v>2232</v>
      </c>
      <c r="BB678" s="41"/>
      <c r="BC678" s="41"/>
      <c r="BD678" s="41"/>
      <c r="BE678" s="41"/>
      <c r="BF678" s="41"/>
      <c r="BG678" s="456">
        <f t="shared" si="34"/>
        <v>2</v>
      </c>
      <c r="BH678" s="462">
        <f t="shared" si="35"/>
        <v>2.7397260273972601E-2</v>
      </c>
      <c r="BI678" s="464">
        <f t="shared" si="36"/>
        <v>8.21917808219178E-3</v>
      </c>
      <c r="BJ678" s="41"/>
      <c r="BK678" s="41"/>
      <c r="BL678" s="41"/>
      <c r="BM678" s="41"/>
      <c r="BN678" s="41"/>
      <c r="BO678" s="41"/>
      <c r="BP678" s="587" t="s">
        <v>414</v>
      </c>
      <c r="BQ678" s="586">
        <v>1364</v>
      </c>
      <c r="BR678" s="586">
        <v>1462</v>
      </c>
      <c r="BS678" s="586">
        <v>1754</v>
      </c>
      <c r="BT678" s="586">
        <v>2026</v>
      </c>
      <c r="BU678" s="586">
        <v>2260</v>
      </c>
      <c r="BV678" s="586">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f t="shared" si="33"/>
        <v>2232</v>
      </c>
      <c r="BB679" s="41"/>
      <c r="BC679" s="41"/>
      <c r="BD679" s="41"/>
      <c r="BE679" s="41"/>
      <c r="BF679" s="41"/>
      <c r="BG679" s="456">
        <f t="shared" si="34"/>
        <v>4</v>
      </c>
      <c r="BH679" s="462">
        <f t="shared" si="35"/>
        <v>5.4794520547945202E-2</v>
      </c>
      <c r="BI679" s="464">
        <f t="shared" si="36"/>
        <v>2.4657534246575342E-2</v>
      </c>
      <c r="BJ679" s="41"/>
      <c r="BK679" s="41"/>
      <c r="BL679" s="41"/>
      <c r="BM679" s="41"/>
      <c r="BN679" s="41"/>
      <c r="BO679" s="41"/>
      <c r="BP679" s="587" t="s">
        <v>415</v>
      </c>
      <c r="BQ679" s="586">
        <v>1574</v>
      </c>
      <c r="BR679" s="586">
        <v>1686</v>
      </c>
      <c r="BS679" s="586">
        <v>2024</v>
      </c>
      <c r="BT679" s="586">
        <v>2340</v>
      </c>
      <c r="BU679" s="586">
        <v>2610</v>
      </c>
      <c r="BV679" s="586">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2" t="s">
        <v>511</v>
      </c>
      <c r="O680" s="1232"/>
      <c r="U680" t="s">
        <v>876</v>
      </c>
      <c r="AG680" s="1232" t="s">
        <v>511</v>
      </c>
      <c r="AH680" s="1232"/>
      <c r="AM680" s="41"/>
      <c r="BA680" s="43">
        <f t="shared" si="33"/>
        <v>2232</v>
      </c>
      <c r="BB680" s="41"/>
      <c r="BC680" s="41"/>
      <c r="BD680" s="41"/>
      <c r="BE680" s="41"/>
      <c r="BF680" s="41"/>
      <c r="BG680" s="456">
        <f t="shared" si="34"/>
        <v>5</v>
      </c>
      <c r="BH680" s="462">
        <f t="shared" si="35"/>
        <v>6.8493150684931503E-2</v>
      </c>
      <c r="BI680" s="464">
        <f t="shared" si="36"/>
        <v>3.4246575342465752E-2</v>
      </c>
      <c r="BJ680" s="41"/>
      <c r="BK680" s="41"/>
      <c r="BL680" s="41"/>
      <c r="BM680" s="41"/>
      <c r="BN680" s="41"/>
      <c r="BO680" s="41"/>
      <c r="BP680" s="587" t="s">
        <v>416</v>
      </c>
      <c r="BQ680" s="586">
        <v>1364</v>
      </c>
      <c r="BR680" s="586">
        <v>1462</v>
      </c>
      <c r="BS680" s="586">
        <v>1754</v>
      </c>
      <c r="BT680" s="586">
        <v>2026</v>
      </c>
      <c r="BU680" s="586">
        <v>2260</v>
      </c>
      <c r="BV680" s="586">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33"/>
        <v>N/A</v>
      </c>
      <c r="BB681" s="41"/>
      <c r="BC681" s="41"/>
      <c r="BD681" s="41"/>
      <c r="BE681" s="41"/>
      <c r="BF681" s="41"/>
      <c r="BG681" s="456">
        <f t="shared" si="34"/>
        <v>5</v>
      </c>
      <c r="BH681" s="462">
        <f t="shared" si="35"/>
        <v>6.8493150684931503E-2</v>
      </c>
      <c r="BI681" s="464">
        <f t="shared" si="36"/>
        <v>4.1095890410958902E-2</v>
      </c>
      <c r="BJ681" s="41"/>
      <c r="BK681" s="41"/>
      <c r="BL681" s="41"/>
      <c r="BM681" s="41"/>
      <c r="BN681" s="41"/>
      <c r="BO681" s="41"/>
      <c r="BP681" s="587" t="s">
        <v>417</v>
      </c>
      <c r="BQ681" s="586">
        <v>2500</v>
      </c>
      <c r="BR681" s="586">
        <v>2678</v>
      </c>
      <c r="BS681" s="586">
        <v>3214</v>
      </c>
      <c r="BT681" s="586">
        <v>3712</v>
      </c>
      <c r="BU681" s="586">
        <v>4142</v>
      </c>
      <c r="BV681" s="586">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33"/>
        <v>2680</v>
      </c>
      <c r="BB682" s="41"/>
      <c r="BC682" s="41"/>
      <c r="BD682" s="41"/>
      <c r="BE682" s="41"/>
      <c r="BF682" s="41"/>
      <c r="BG682" s="456">
        <f t="shared" si="34"/>
        <v>0</v>
      </c>
      <c r="BH682" s="462">
        <f t="shared" si="35"/>
        <v>0</v>
      </c>
      <c r="BI682" s="464" t="str">
        <f t="shared" si="36"/>
        <v xml:space="preserve"> </v>
      </c>
      <c r="BJ682" s="41"/>
      <c r="BK682" s="41"/>
      <c r="BL682" s="41"/>
      <c r="BM682" s="41"/>
      <c r="BN682" s="41"/>
      <c r="BO682" s="41"/>
      <c r="BP682" s="587" t="s">
        <v>418</v>
      </c>
      <c r="BQ682" s="586">
        <v>1364</v>
      </c>
      <c r="BR682" s="586">
        <v>1462</v>
      </c>
      <c r="BS682" s="586">
        <v>1754</v>
      </c>
      <c r="BT682" s="586">
        <v>2026</v>
      </c>
      <c r="BU682" s="586">
        <v>2260</v>
      </c>
      <c r="BV682" s="586">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f t="shared" si="33"/>
        <v>2680</v>
      </c>
      <c r="BB683" s="41"/>
      <c r="BC683" s="41"/>
      <c r="BD683" s="41"/>
      <c r="BE683" s="41"/>
      <c r="BF683" s="41"/>
      <c r="BG683" s="456">
        <f t="shared" si="34"/>
        <v>7</v>
      </c>
      <c r="BH683" s="462">
        <f t="shared" si="35"/>
        <v>9.5890410958904104E-2</v>
      </c>
      <c r="BI683" s="464">
        <f t="shared" si="36"/>
        <v>2.8767123287671229E-2</v>
      </c>
      <c r="BJ683" s="41"/>
      <c r="BK683" s="41"/>
      <c r="BL683" s="41"/>
      <c r="BM683" s="41"/>
      <c r="BN683" s="41"/>
      <c r="BO683" s="41"/>
      <c r="BP683" s="587" t="s">
        <v>419</v>
      </c>
      <c r="BQ683" s="586">
        <v>1774</v>
      </c>
      <c r="BR683" s="586">
        <v>1900</v>
      </c>
      <c r="BS683" s="586">
        <v>2280</v>
      </c>
      <c r="BT683" s="586">
        <v>2634</v>
      </c>
      <c r="BU683" s="586">
        <v>2940</v>
      </c>
      <c r="BV683" s="586">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f t="shared" si="33"/>
        <v>2680</v>
      </c>
      <c r="BE684" s="41"/>
      <c r="BF684" s="41"/>
      <c r="BG684" s="456">
        <f t="shared" si="34"/>
        <v>1</v>
      </c>
      <c r="BH684" s="462">
        <f t="shared" si="35"/>
        <v>1.3698630136986301E-2</v>
      </c>
      <c r="BI684" s="464">
        <f t="shared" si="36"/>
        <v>6.1643835616438354E-3</v>
      </c>
      <c r="BJ684" s="41"/>
      <c r="BK684" s="41"/>
      <c r="BL684" s="41"/>
      <c r="BM684" s="41"/>
      <c r="BN684" s="41"/>
      <c r="BO684" s="41"/>
      <c r="BP684" s="587" t="s">
        <v>420</v>
      </c>
      <c r="BQ684" s="586">
        <v>1364</v>
      </c>
      <c r="BR684" s="586">
        <v>1462</v>
      </c>
      <c r="BS684" s="586">
        <v>1754</v>
      </c>
      <c r="BT684" s="586">
        <v>2026</v>
      </c>
      <c r="BU684" s="586">
        <v>2260</v>
      </c>
      <c r="BV684" s="586">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f t="shared" si="33"/>
        <v>2680</v>
      </c>
      <c r="BE685" s="41"/>
      <c r="BF685" s="41"/>
      <c r="BG685" s="456">
        <f t="shared" si="34"/>
        <v>6</v>
      </c>
      <c r="BH685" s="462">
        <f t="shared" si="35"/>
        <v>8.2191780821917804E-2</v>
      </c>
      <c r="BI685" s="464">
        <f t="shared" si="36"/>
        <v>3.6986301369863014E-2</v>
      </c>
      <c r="BJ685" s="41"/>
      <c r="BK685" s="41"/>
      <c r="BL685" s="41"/>
      <c r="BM685" s="41"/>
      <c r="BN685" s="41"/>
      <c r="BO685" s="41"/>
      <c r="BP685" s="587" t="s">
        <v>421</v>
      </c>
      <c r="BQ685" s="586">
        <v>1364</v>
      </c>
      <c r="BR685" s="586">
        <v>1462</v>
      </c>
      <c r="BS685" s="586">
        <v>1754</v>
      </c>
      <c r="BT685" s="586">
        <v>2026</v>
      </c>
      <c r="BU685" s="586">
        <v>2260</v>
      </c>
      <c r="BV685" s="586">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33"/>
        <v>2680</v>
      </c>
      <c r="BE686" s="41"/>
      <c r="BF686" s="41"/>
      <c r="BG686" s="456">
        <f t="shared" si="34"/>
        <v>4</v>
      </c>
      <c r="BH686" s="462">
        <f t="shared" si="35"/>
        <v>5.4794520547945202E-2</v>
      </c>
      <c r="BI686" s="464">
        <f t="shared" si="36"/>
        <v>2.4657534246575342E-2</v>
      </c>
      <c r="BJ686" s="41"/>
      <c r="BK686" s="41"/>
      <c r="BL686" s="41"/>
      <c r="BM686" s="41"/>
      <c r="BN686" s="41"/>
      <c r="BO686" s="41"/>
      <c r="BP686" s="587" t="s">
        <v>422</v>
      </c>
      <c r="BQ686" s="586">
        <v>1364</v>
      </c>
      <c r="BR686" s="586">
        <v>1462</v>
      </c>
      <c r="BS686" s="586">
        <v>1754</v>
      </c>
      <c r="BT686" s="586">
        <v>2026</v>
      </c>
      <c r="BU686" s="586">
        <v>2260</v>
      </c>
      <c r="BV686" s="586">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7"/>
      <c r="C687" s="3"/>
      <c r="BA687" s="43">
        <f t="shared" si="33"/>
        <v>2680</v>
      </c>
      <c r="BE687" s="41"/>
      <c r="BF687" s="41"/>
      <c r="BG687" s="456">
        <f t="shared" si="34"/>
        <v>8</v>
      </c>
      <c r="BH687" s="462">
        <f t="shared" si="35"/>
        <v>0.1095890410958904</v>
      </c>
      <c r="BI687" s="464">
        <f t="shared" si="36"/>
        <v>5.4794520547945202E-2</v>
      </c>
      <c r="BJ687" s="41"/>
      <c r="BK687" s="41"/>
      <c r="BL687" s="41"/>
      <c r="BM687" s="41"/>
      <c r="BN687" s="41"/>
      <c r="BO687" s="41"/>
      <c r="BP687" s="587" t="s">
        <v>423</v>
      </c>
      <c r="BQ687" s="586">
        <v>1364</v>
      </c>
      <c r="BR687" s="586">
        <v>1462</v>
      </c>
      <c r="BS687" s="586">
        <v>1754</v>
      </c>
      <c r="BT687" s="586">
        <v>2026</v>
      </c>
      <c r="BU687" s="586">
        <v>2260</v>
      </c>
      <c r="BV687" s="586">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2092</v>
      </c>
      <c r="L688" s="1201"/>
      <c r="M688" s="1201"/>
      <c r="N688" s="1202"/>
      <c r="O688" s="1209" t="s">
        <v>624</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2093</v>
      </c>
      <c r="AI688" s="1210"/>
      <c r="AJ688" s="1210"/>
      <c r="AK688" s="1210"/>
      <c r="AL688" s="1211"/>
      <c r="AM688" s="1209" t="s">
        <v>2094</v>
      </c>
      <c r="AN688" s="1210"/>
      <c r="AO688" s="1211"/>
      <c r="BA688" s="43">
        <f t="shared" si="33"/>
        <v>2680</v>
      </c>
      <c r="BB688" s="41"/>
      <c r="BC688" s="41"/>
      <c r="BD688" s="41"/>
      <c r="BE688" s="41"/>
      <c r="BF688" s="41"/>
      <c r="BG688" s="456">
        <f t="shared" si="34"/>
        <v>6</v>
      </c>
      <c r="BH688" s="462">
        <f t="shared" si="35"/>
        <v>8.2191780821917804E-2</v>
      </c>
      <c r="BI688" s="464">
        <f t="shared" si="36"/>
        <v>4.1095890410958902E-2</v>
      </c>
      <c r="BJ688" s="41"/>
      <c r="BK688" s="41"/>
      <c r="BL688" s="41"/>
      <c r="BM688" s="41"/>
      <c r="BN688" s="41"/>
      <c r="BO688" s="41"/>
      <c r="BP688" s="587" t="s">
        <v>424</v>
      </c>
      <c r="BQ688" s="586">
        <v>1446</v>
      </c>
      <c r="BR688" s="586">
        <v>1550</v>
      </c>
      <c r="BS688" s="586">
        <v>1862</v>
      </c>
      <c r="BT688" s="586">
        <v>2150</v>
      </c>
      <c r="BU688" s="586">
        <v>2400</v>
      </c>
      <c r="BV688" s="586">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f t="shared" si="33"/>
        <v>2680</v>
      </c>
      <c r="BB689" s="41"/>
      <c r="BC689" s="41"/>
      <c r="BD689" s="41"/>
      <c r="BE689" s="41"/>
      <c r="BF689" s="41"/>
      <c r="BG689" s="456">
        <f t="shared" si="34"/>
        <v>3</v>
      </c>
      <c r="BH689" s="462">
        <f t="shared" si="35"/>
        <v>4.1095890410958902E-2</v>
      </c>
      <c r="BI689" s="464">
        <f t="shared" si="36"/>
        <v>2.4657534246575342E-2</v>
      </c>
      <c r="BJ689" s="41"/>
      <c r="BK689" s="41"/>
      <c r="BL689" s="41"/>
      <c r="BM689" s="41"/>
      <c r="BN689" s="41"/>
      <c r="BO689" s="41"/>
      <c r="BP689" s="587" t="s">
        <v>425</v>
      </c>
      <c r="BQ689" s="586">
        <v>1364</v>
      </c>
      <c r="BR689" s="586">
        <v>1462</v>
      </c>
      <c r="BS689" s="586">
        <v>1754</v>
      </c>
      <c r="BT689" s="586">
        <v>2026</v>
      </c>
      <c r="BU689" s="586">
        <v>2260</v>
      </c>
      <c r="BV689" s="586">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f t="shared" si="33"/>
        <v>3096</v>
      </c>
      <c r="BB690" s="41"/>
      <c r="BC690" s="41"/>
      <c r="BD690" s="41"/>
      <c r="BE690" s="41"/>
      <c r="BF690" s="41"/>
      <c r="BG690" s="456">
        <f t="shared" si="34"/>
        <v>18</v>
      </c>
      <c r="BH690" s="462">
        <f t="shared" si="35"/>
        <v>0.24657534246575341</v>
      </c>
      <c r="BI690" s="464">
        <f t="shared" si="36"/>
        <v>0.14794520547945203</v>
      </c>
      <c r="BJ690" s="41"/>
      <c r="BK690" s="41"/>
      <c r="BL690" s="41"/>
      <c r="BM690" s="41"/>
      <c r="BN690" s="41"/>
      <c r="BO690" s="41"/>
      <c r="BP690" s="587" t="s">
        <v>426</v>
      </c>
      <c r="BQ690" s="586">
        <v>1364</v>
      </c>
      <c r="BR690" s="586">
        <v>1462</v>
      </c>
      <c r="BS690" s="586">
        <v>1754</v>
      </c>
      <c r="BT690" s="586">
        <v>2026</v>
      </c>
      <c r="BU690" s="586">
        <v>2260</v>
      </c>
      <c r="BV690" s="586">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f t="shared" si="33"/>
        <v>3096</v>
      </c>
      <c r="BB691" s="41"/>
      <c r="BC691" s="41"/>
      <c r="BD691" s="41"/>
      <c r="BE691" s="41"/>
      <c r="BF691" s="41"/>
      <c r="BG691" s="456">
        <f t="shared" si="34"/>
        <v>1</v>
      </c>
      <c r="BH691" s="462">
        <f t="shared" si="35"/>
        <v>1.3698630136986301E-2</v>
      </c>
      <c r="BI691" s="464">
        <f t="shared" si="36"/>
        <v>4.10958904109589E-3</v>
      </c>
      <c r="BJ691" s="41"/>
      <c r="BK691" s="41"/>
      <c r="BL691" s="41"/>
      <c r="BM691" s="41"/>
      <c r="BN691" s="41"/>
      <c r="BO691" s="41"/>
      <c r="BP691" s="587" t="s">
        <v>427</v>
      </c>
      <c r="BQ691" s="586">
        <v>1364</v>
      </c>
      <c r="BR691" s="586">
        <v>1462</v>
      </c>
      <c r="BS691" s="586">
        <v>1754</v>
      </c>
      <c r="BT691" s="586">
        <v>2026</v>
      </c>
      <c r="BU691" s="586">
        <v>2260</v>
      </c>
      <c r="BV691" s="586">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6" t="s">
        <v>470</v>
      </c>
      <c r="C692" s="1287"/>
      <c r="D692" s="1287"/>
      <c r="E692" s="1287"/>
      <c r="F692" s="1288"/>
      <c r="G692" s="1228">
        <v>1</v>
      </c>
      <c r="H692" s="1229"/>
      <c r="I692" s="1229"/>
      <c r="J692" s="1230"/>
      <c r="K692" s="1218">
        <v>480</v>
      </c>
      <c r="L692" s="1219"/>
      <c r="M692" s="1219"/>
      <c r="N692" s="1220"/>
      <c r="O692" s="1221">
        <v>604</v>
      </c>
      <c r="P692" s="1222"/>
      <c r="Q692" s="1222"/>
      <c r="R692" s="1222"/>
      <c r="S692" s="1223"/>
      <c r="T692" s="1194">
        <f t="shared" ref="T692:T716" si="37">G692*O692</f>
        <v>604</v>
      </c>
      <c r="U692" s="1195"/>
      <c r="V692" s="1195"/>
      <c r="W692" s="1195"/>
      <c r="X692" s="1196"/>
      <c r="Y692" s="1221">
        <v>21</v>
      </c>
      <c r="Z692" s="1222"/>
      <c r="AA692" s="1222"/>
      <c r="AB692" s="1223"/>
      <c r="AC692" s="1194">
        <f t="shared" ref="AC692:AC716" si="38">O692+Y692</f>
        <v>625</v>
      </c>
      <c r="AD692" s="1195"/>
      <c r="AE692" s="1195"/>
      <c r="AF692" s="1195"/>
      <c r="AG692" s="1196"/>
      <c r="AH692" s="1478">
        <v>0.3</v>
      </c>
      <c r="AI692" s="1479"/>
      <c r="AJ692" s="1479"/>
      <c r="AK692" s="1479"/>
      <c r="AL692" s="1480"/>
      <c r="AM692" s="1191">
        <f>IF($AH692&gt;0,($AC692/$BA675)," ")</f>
        <v>0.29990403071017274</v>
      </c>
      <c r="AN692" s="1192"/>
      <c r="AO692" s="1193"/>
      <c r="BA692" s="43" t="str">
        <f t="shared" si="33"/>
        <v>N/A</v>
      </c>
      <c r="BB692" s="41"/>
      <c r="BC692" s="41"/>
      <c r="BD692" s="41"/>
      <c r="BE692" s="41"/>
      <c r="BF692" s="41"/>
      <c r="BG692" s="456">
        <f t="shared" si="34"/>
        <v>1</v>
      </c>
      <c r="BH692" s="462">
        <f t="shared" si="35"/>
        <v>1.3698630136986301E-2</v>
      </c>
      <c r="BI692" s="464">
        <f t="shared" si="36"/>
        <v>6.1643835616438354E-3</v>
      </c>
      <c r="BJ692" s="41"/>
      <c r="BK692" s="41"/>
      <c r="BL692" s="41"/>
      <c r="BM692" s="41"/>
      <c r="BN692" s="41"/>
      <c r="BO692" s="41"/>
      <c r="BP692" s="587" t="s">
        <v>428</v>
      </c>
      <c r="BQ692" s="586">
        <v>1406</v>
      </c>
      <c r="BR692" s="586">
        <v>1506</v>
      </c>
      <c r="BS692" s="586">
        <v>1806</v>
      </c>
      <c r="BT692" s="586">
        <v>2088</v>
      </c>
      <c r="BU692" s="586">
        <v>2330</v>
      </c>
      <c r="BV692" s="586">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6" t="s">
        <v>470</v>
      </c>
      <c r="C693" s="1287"/>
      <c r="D693" s="1287"/>
      <c r="E693" s="1287"/>
      <c r="F693" s="1288"/>
      <c r="G693" s="1228">
        <v>1</v>
      </c>
      <c r="H693" s="1229"/>
      <c r="I693" s="1229"/>
      <c r="J693" s="1230"/>
      <c r="K693" s="1218">
        <v>480</v>
      </c>
      <c r="L693" s="1219"/>
      <c r="M693" s="1219"/>
      <c r="N693" s="1220"/>
      <c r="O693" s="1221">
        <v>916</v>
      </c>
      <c r="P693" s="1222"/>
      <c r="Q693" s="1222"/>
      <c r="R693" s="1222"/>
      <c r="S693" s="1223"/>
      <c r="T693" s="1194">
        <f t="shared" si="37"/>
        <v>916</v>
      </c>
      <c r="U693" s="1195"/>
      <c r="V693" s="1195"/>
      <c r="W693" s="1195"/>
      <c r="X693" s="1196"/>
      <c r="Y693" s="1221">
        <v>21</v>
      </c>
      <c r="Z693" s="1222"/>
      <c r="AA693" s="1222"/>
      <c r="AB693" s="1223"/>
      <c r="AC693" s="1194">
        <f t="shared" si="38"/>
        <v>937</v>
      </c>
      <c r="AD693" s="1195"/>
      <c r="AE693" s="1195"/>
      <c r="AF693" s="1195"/>
      <c r="AG693" s="1196"/>
      <c r="AH693" s="1225">
        <v>0.45</v>
      </c>
      <c r="AI693" s="1226"/>
      <c r="AJ693" s="1226"/>
      <c r="AK693" s="1226"/>
      <c r="AL693" s="1227"/>
      <c r="AM693" s="1191">
        <f t="shared" ref="AM693:AM716" si="39">IF($AH693&gt;0,($AC693/$BA676), " ")</f>
        <v>0.44961612284069097</v>
      </c>
      <c r="AN693" s="1192"/>
      <c r="AO693" s="1193"/>
      <c r="BA693" s="43" t="str">
        <f t="shared" si="33"/>
        <v>N/A</v>
      </c>
      <c r="BB693" s="41"/>
      <c r="BC693" s="41"/>
      <c r="BD693" s="41"/>
      <c r="BE693" s="41"/>
      <c r="BF693" s="41"/>
      <c r="BG693" s="456">
        <f t="shared" si="34"/>
        <v>0</v>
      </c>
      <c r="BH693" s="462">
        <f t="shared" si="35"/>
        <v>0</v>
      </c>
      <c r="BI693" s="464" t="str">
        <f t="shared" si="36"/>
        <v xml:space="preserve"> </v>
      </c>
      <c r="BJ693" s="41"/>
      <c r="BK693" s="41"/>
      <c r="BL693" s="41"/>
      <c r="BM693" s="41"/>
      <c r="BN693" s="41"/>
      <c r="BO693" s="41"/>
      <c r="BP693" s="587" t="s">
        <v>429</v>
      </c>
      <c r="BQ693" s="586">
        <v>2084</v>
      </c>
      <c r="BR693" s="586">
        <v>2232</v>
      </c>
      <c r="BS693" s="586">
        <v>2680</v>
      </c>
      <c r="BT693" s="586">
        <v>3096</v>
      </c>
      <c r="BU693" s="586">
        <v>3454</v>
      </c>
      <c r="BV693" s="586">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6" t="s">
        <v>471</v>
      </c>
      <c r="C694" s="1287"/>
      <c r="D694" s="1287"/>
      <c r="E694" s="1287"/>
      <c r="F694" s="1288"/>
      <c r="G694" s="1228">
        <v>2</v>
      </c>
      <c r="H694" s="1229"/>
      <c r="I694" s="1229"/>
      <c r="J694" s="1230"/>
      <c r="K694" s="1218" t="s">
        <v>2513</v>
      </c>
      <c r="L694" s="1219"/>
      <c r="M694" s="1219"/>
      <c r="N694" s="1220"/>
      <c r="O694" s="1221">
        <v>642</v>
      </c>
      <c r="P694" s="1222"/>
      <c r="Q694" s="1222"/>
      <c r="R694" s="1222"/>
      <c r="S694" s="1223"/>
      <c r="T694" s="1194">
        <f t="shared" si="37"/>
        <v>1284</v>
      </c>
      <c r="U694" s="1195"/>
      <c r="V694" s="1195"/>
      <c r="W694" s="1195"/>
      <c r="X694" s="1196"/>
      <c r="Y694" s="1221">
        <v>27</v>
      </c>
      <c r="Z694" s="1222"/>
      <c r="AA694" s="1222"/>
      <c r="AB694" s="1223"/>
      <c r="AC694" s="1194">
        <f t="shared" si="38"/>
        <v>669</v>
      </c>
      <c r="AD694" s="1195"/>
      <c r="AE694" s="1195"/>
      <c r="AF694" s="1195"/>
      <c r="AG694" s="1196"/>
      <c r="AH694" s="1225">
        <v>0.3</v>
      </c>
      <c r="AI694" s="1226"/>
      <c r="AJ694" s="1226"/>
      <c r="AK694" s="1226"/>
      <c r="AL694" s="1227"/>
      <c r="AM694" s="1191">
        <f t="shared" si="39"/>
        <v>0.29973118279569894</v>
      </c>
      <c r="AN694" s="1192"/>
      <c r="AO694" s="1193"/>
      <c r="BA694" s="43" t="str">
        <f t="shared" si="33"/>
        <v>N/A</v>
      </c>
      <c r="BB694" s="41"/>
      <c r="BC694" s="41"/>
      <c r="BD694" s="41"/>
      <c r="BE694" s="41"/>
      <c r="BF694" s="41"/>
      <c r="BG694" s="456">
        <f t="shared" si="34"/>
        <v>0</v>
      </c>
      <c r="BH694" s="462">
        <f t="shared" si="35"/>
        <v>0</v>
      </c>
      <c r="BI694" s="464" t="str">
        <f t="shared" si="36"/>
        <v xml:space="preserve"> </v>
      </c>
      <c r="BJ694" s="41"/>
      <c r="BK694" s="41"/>
      <c r="BL694" s="41"/>
      <c r="BM694" s="41"/>
      <c r="BN694" s="41"/>
      <c r="BO694" s="41"/>
      <c r="BP694" s="587" t="s">
        <v>430</v>
      </c>
      <c r="BQ694" s="586">
        <v>1364</v>
      </c>
      <c r="BR694" s="586">
        <v>1462</v>
      </c>
      <c r="BS694" s="586">
        <v>1754</v>
      </c>
      <c r="BT694" s="586">
        <v>2026</v>
      </c>
      <c r="BU694" s="586">
        <v>2260</v>
      </c>
      <c r="BV694" s="586">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6" t="s">
        <v>471</v>
      </c>
      <c r="C695" s="1287"/>
      <c r="D695" s="1287"/>
      <c r="E695" s="1287"/>
      <c r="F695" s="1288"/>
      <c r="G695" s="1228">
        <v>4</v>
      </c>
      <c r="H695" s="1229"/>
      <c r="I695" s="1229"/>
      <c r="J695" s="1230"/>
      <c r="K695" s="1218" t="s">
        <v>2513</v>
      </c>
      <c r="L695" s="1219"/>
      <c r="M695" s="1219"/>
      <c r="N695" s="1220"/>
      <c r="O695" s="1221">
        <v>977</v>
      </c>
      <c r="P695" s="1222"/>
      <c r="Q695" s="1222"/>
      <c r="R695" s="1222"/>
      <c r="S695" s="1223"/>
      <c r="T695" s="1194">
        <f t="shared" si="37"/>
        <v>3908</v>
      </c>
      <c r="U695" s="1195"/>
      <c r="V695" s="1195"/>
      <c r="W695" s="1195"/>
      <c r="X695" s="1196"/>
      <c r="Y695" s="1221">
        <v>27</v>
      </c>
      <c r="Z695" s="1222"/>
      <c r="AA695" s="1222"/>
      <c r="AB695" s="1223"/>
      <c r="AC695" s="1194">
        <f t="shared" si="38"/>
        <v>1004</v>
      </c>
      <c r="AD695" s="1195"/>
      <c r="AE695" s="1195"/>
      <c r="AF695" s="1195"/>
      <c r="AG695" s="1196"/>
      <c r="AH695" s="1225">
        <v>0.45</v>
      </c>
      <c r="AI695" s="1226"/>
      <c r="AJ695" s="1226"/>
      <c r="AK695" s="1226"/>
      <c r="AL695" s="1227"/>
      <c r="AM695" s="1191">
        <f t="shared" si="39"/>
        <v>0.44982078853046598</v>
      </c>
      <c r="AN695" s="1192"/>
      <c r="AO695" s="1193"/>
      <c r="BA695" s="43" t="str">
        <f t="shared" si="33"/>
        <v>N/A</v>
      </c>
      <c r="BB695" s="41"/>
      <c r="BC695" s="41"/>
      <c r="BD695" s="41"/>
      <c r="BE695" s="41"/>
      <c r="BF695" s="41"/>
      <c r="BG695" s="456">
        <f t="shared" si="34"/>
        <v>0</v>
      </c>
      <c r="BH695" s="462">
        <f t="shared" si="35"/>
        <v>0</v>
      </c>
      <c r="BI695" s="464" t="str">
        <f t="shared" si="36"/>
        <v xml:space="preserve"> </v>
      </c>
      <c r="BJ695" s="41"/>
      <c r="BK695" s="41"/>
      <c r="BL695" s="41"/>
      <c r="BM695" s="41"/>
      <c r="BN695" s="41"/>
      <c r="BO695" s="41"/>
      <c r="BP695" s="587" t="s">
        <v>431</v>
      </c>
      <c r="BQ695" s="586">
        <v>3262</v>
      </c>
      <c r="BR695" s="586">
        <v>3496</v>
      </c>
      <c r="BS695" s="586">
        <v>4194</v>
      </c>
      <c r="BT695" s="586">
        <v>4846</v>
      </c>
      <c r="BU695" s="586">
        <v>5406</v>
      </c>
      <c r="BV695" s="586">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6" t="s">
        <v>471</v>
      </c>
      <c r="C696" s="1287"/>
      <c r="D696" s="1287"/>
      <c r="E696" s="1287"/>
      <c r="F696" s="1288"/>
      <c r="G696" s="1228">
        <v>5</v>
      </c>
      <c r="H696" s="1229"/>
      <c r="I696" s="1229"/>
      <c r="J696" s="1230"/>
      <c r="K696" s="1218" t="s">
        <v>2513</v>
      </c>
      <c r="L696" s="1219"/>
      <c r="M696" s="1219"/>
      <c r="N696" s="1220"/>
      <c r="O696" s="1221">
        <v>1089</v>
      </c>
      <c r="P696" s="1222"/>
      <c r="Q696" s="1222"/>
      <c r="R696" s="1222"/>
      <c r="S696" s="1223"/>
      <c r="T696" s="1194">
        <f t="shared" si="37"/>
        <v>5445</v>
      </c>
      <c r="U696" s="1195"/>
      <c r="V696" s="1195"/>
      <c r="W696" s="1195"/>
      <c r="X696" s="1196"/>
      <c r="Y696" s="1221">
        <v>27</v>
      </c>
      <c r="Z696" s="1222"/>
      <c r="AA696" s="1222"/>
      <c r="AB696" s="1223"/>
      <c r="AC696" s="1194">
        <f t="shared" si="38"/>
        <v>1116</v>
      </c>
      <c r="AD696" s="1195"/>
      <c r="AE696" s="1195"/>
      <c r="AF696" s="1195"/>
      <c r="AG696" s="1196"/>
      <c r="AH696" s="1225">
        <v>0.5</v>
      </c>
      <c r="AI696" s="1226"/>
      <c r="AJ696" s="1226"/>
      <c r="AK696" s="1226"/>
      <c r="AL696" s="1227"/>
      <c r="AM696" s="1191">
        <f t="shared" si="39"/>
        <v>0.5</v>
      </c>
      <c r="AN696" s="1192"/>
      <c r="AO696" s="1193"/>
      <c r="BA696" s="43" t="str">
        <f t="shared" si="33"/>
        <v>N/A</v>
      </c>
      <c r="BB696" s="41"/>
      <c r="BC696" s="41"/>
      <c r="BD696" s="41"/>
      <c r="BE696" s="41"/>
      <c r="BF696" s="41"/>
      <c r="BG696" s="456">
        <f t="shared" si="34"/>
        <v>0</v>
      </c>
      <c r="BH696" s="462">
        <f t="shared" si="35"/>
        <v>0</v>
      </c>
      <c r="BI696" s="464" t="str">
        <f t="shared" si="36"/>
        <v xml:space="preserve"> </v>
      </c>
      <c r="BJ696" s="41"/>
      <c r="BK696" s="41"/>
      <c r="BL696" s="41"/>
      <c r="BM696" s="41"/>
      <c r="BN696" s="41"/>
      <c r="BO696" s="41"/>
      <c r="BP696" s="587" t="s">
        <v>432</v>
      </c>
      <c r="BQ696" s="586">
        <v>1364</v>
      </c>
      <c r="BR696" s="586">
        <v>1462</v>
      </c>
      <c r="BS696" s="586">
        <v>1754</v>
      </c>
      <c r="BT696" s="586">
        <v>2026</v>
      </c>
      <c r="BU696" s="586">
        <v>2260</v>
      </c>
      <c r="BV696" s="586">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6" t="s">
        <v>471</v>
      </c>
      <c r="C697" s="1287"/>
      <c r="D697" s="1287"/>
      <c r="E697" s="1287"/>
      <c r="F697" s="1288"/>
      <c r="G697" s="1228">
        <v>5</v>
      </c>
      <c r="H697" s="1229"/>
      <c r="I697" s="1229"/>
      <c r="J697" s="1230"/>
      <c r="K697" s="1218" t="s">
        <v>2513</v>
      </c>
      <c r="L697" s="1219"/>
      <c r="M697" s="1219"/>
      <c r="N697" s="1220"/>
      <c r="O697" s="1221">
        <v>1312</v>
      </c>
      <c r="P697" s="1222"/>
      <c r="Q697" s="1222"/>
      <c r="R697" s="1222"/>
      <c r="S697" s="1223"/>
      <c r="T697" s="1194">
        <f t="shared" si="37"/>
        <v>6560</v>
      </c>
      <c r="U697" s="1195"/>
      <c r="V697" s="1195"/>
      <c r="W697" s="1195"/>
      <c r="X697" s="1196"/>
      <c r="Y697" s="1221">
        <v>27</v>
      </c>
      <c r="Z697" s="1222"/>
      <c r="AA697" s="1222"/>
      <c r="AB697" s="1223"/>
      <c r="AC697" s="1194">
        <f t="shared" si="38"/>
        <v>1339</v>
      </c>
      <c r="AD697" s="1195"/>
      <c r="AE697" s="1195"/>
      <c r="AF697" s="1195"/>
      <c r="AG697" s="1196"/>
      <c r="AH697" s="1225">
        <v>0.6</v>
      </c>
      <c r="AI697" s="1226"/>
      <c r="AJ697" s="1226"/>
      <c r="AK697" s="1226"/>
      <c r="AL697" s="1227"/>
      <c r="AM697" s="1191">
        <f t="shared" si="39"/>
        <v>0.59991039426523296</v>
      </c>
      <c r="AN697" s="1192"/>
      <c r="AO697" s="1193"/>
      <c r="BA697" s="43" t="str">
        <f t="shared" si="33"/>
        <v>N/A</v>
      </c>
      <c r="BB697" s="41"/>
      <c r="BC697" s="41"/>
      <c r="BD697" s="41"/>
      <c r="BE697" s="41"/>
      <c r="BF697" s="41"/>
      <c r="BG697" s="456">
        <f t="shared" si="34"/>
        <v>0</v>
      </c>
      <c r="BH697" s="462">
        <f t="shared" si="35"/>
        <v>0</v>
      </c>
      <c r="BI697" s="464" t="str">
        <f t="shared" si="36"/>
        <v xml:space="preserve"> </v>
      </c>
      <c r="BJ697" s="41"/>
      <c r="BK697" s="41"/>
      <c r="BL697" s="41"/>
      <c r="BM697" s="41"/>
      <c r="BN697" s="41"/>
      <c r="BO697" s="41"/>
      <c r="BP697" s="587" t="s">
        <v>433</v>
      </c>
      <c r="BQ697" s="586">
        <v>1406</v>
      </c>
      <c r="BR697" s="586">
        <v>1506</v>
      </c>
      <c r="BS697" s="586">
        <v>1806</v>
      </c>
      <c r="BT697" s="586">
        <v>2088</v>
      </c>
      <c r="BU697" s="586">
        <v>2330</v>
      </c>
      <c r="BV697" s="586">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6"/>
      <c r="C698" s="1287"/>
      <c r="D698" s="1287"/>
      <c r="E698" s="1287"/>
      <c r="F698" s="1288"/>
      <c r="G698" s="1228"/>
      <c r="H698" s="1229"/>
      <c r="I698" s="1229"/>
      <c r="J698" s="1230"/>
      <c r="K698" s="1218"/>
      <c r="L698" s="1219"/>
      <c r="M698" s="1219"/>
      <c r="N698" s="1220"/>
      <c r="O698" s="1221"/>
      <c r="P698" s="1222"/>
      <c r="Q698" s="1222"/>
      <c r="R698" s="1222"/>
      <c r="S698" s="1223"/>
      <c r="T698" s="1194">
        <f t="shared" si="37"/>
        <v>0</v>
      </c>
      <c r="U698" s="1195"/>
      <c r="V698" s="1195"/>
      <c r="W698" s="1195"/>
      <c r="X698" s="1196"/>
      <c r="Y698" s="1221"/>
      <c r="Z698" s="1222"/>
      <c r="AA698" s="1222"/>
      <c r="AB698" s="1223"/>
      <c r="AC698" s="1194">
        <f t="shared" si="38"/>
        <v>0</v>
      </c>
      <c r="AD698" s="1195"/>
      <c r="AE698" s="1195"/>
      <c r="AF698" s="1195"/>
      <c r="AG698" s="1196"/>
      <c r="AH698" s="1225"/>
      <c r="AI698" s="1226"/>
      <c r="AJ698" s="1226"/>
      <c r="AK698" s="1226"/>
      <c r="AL698" s="1227"/>
      <c r="AM698" s="1191" t="str">
        <f t="shared" si="39"/>
        <v xml:space="preserve"> </v>
      </c>
      <c r="AN698" s="1192"/>
      <c r="AO698" s="1193"/>
      <c r="BA698" s="43" t="str">
        <f t="shared" si="33"/>
        <v>N/A</v>
      </c>
      <c r="BB698" s="41"/>
      <c r="BC698" s="41"/>
      <c r="BD698" s="41"/>
      <c r="BE698" s="41"/>
      <c r="BF698" s="41"/>
      <c r="BG698" s="456">
        <f t="shared" si="34"/>
        <v>0</v>
      </c>
      <c r="BH698" s="462">
        <f t="shared" si="35"/>
        <v>0</v>
      </c>
      <c r="BI698" s="464" t="str">
        <f t="shared" si="36"/>
        <v xml:space="preserve"> </v>
      </c>
      <c r="BJ698" s="41"/>
      <c r="BK698" s="41"/>
      <c r="BL698" s="41"/>
      <c r="BM698" s="41"/>
      <c r="BN698" s="41"/>
      <c r="BO698" s="41"/>
      <c r="BP698" s="587" t="s">
        <v>434</v>
      </c>
      <c r="BQ698" s="586">
        <v>1364</v>
      </c>
      <c r="BR698" s="586">
        <v>1462</v>
      </c>
      <c r="BS698" s="586">
        <v>1754</v>
      </c>
      <c r="BT698" s="586">
        <v>2026</v>
      </c>
      <c r="BU698" s="586">
        <v>2260</v>
      </c>
      <c r="BV698" s="586">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6" t="s">
        <v>816</v>
      </c>
      <c r="C699" s="1287"/>
      <c r="D699" s="1287"/>
      <c r="E699" s="1287"/>
      <c r="F699" s="1288"/>
      <c r="G699" s="1228">
        <v>7</v>
      </c>
      <c r="H699" s="1229"/>
      <c r="I699" s="1229"/>
      <c r="J699" s="1230"/>
      <c r="K699" s="1218" t="s">
        <v>2514</v>
      </c>
      <c r="L699" s="1219"/>
      <c r="M699" s="1219"/>
      <c r="N699" s="1220"/>
      <c r="O699" s="1221">
        <v>762</v>
      </c>
      <c r="P699" s="1222"/>
      <c r="Q699" s="1222"/>
      <c r="R699" s="1222"/>
      <c r="S699" s="1223"/>
      <c r="T699" s="1194">
        <f t="shared" si="37"/>
        <v>5334</v>
      </c>
      <c r="U699" s="1195"/>
      <c r="V699" s="1195"/>
      <c r="W699" s="1195"/>
      <c r="X699" s="1196"/>
      <c r="Y699" s="1221">
        <v>42</v>
      </c>
      <c r="Z699" s="1222"/>
      <c r="AA699" s="1222"/>
      <c r="AB699" s="1223"/>
      <c r="AC699" s="1194">
        <f t="shared" si="38"/>
        <v>804</v>
      </c>
      <c r="AD699" s="1195"/>
      <c r="AE699" s="1195"/>
      <c r="AF699" s="1195"/>
      <c r="AG699" s="1196"/>
      <c r="AH699" s="1225">
        <v>0.3</v>
      </c>
      <c r="AI699" s="1226"/>
      <c r="AJ699" s="1226"/>
      <c r="AK699" s="1226"/>
      <c r="AL699" s="1227"/>
      <c r="AM699" s="1191">
        <f t="shared" si="39"/>
        <v>0.3</v>
      </c>
      <c r="AN699" s="1192"/>
      <c r="AO699" s="1193"/>
      <c r="BA699" s="43" t="str">
        <f t="shared" si="33"/>
        <v>N/A</v>
      </c>
      <c r="BB699" s="41"/>
      <c r="BC699" s="41"/>
      <c r="BD699" s="41"/>
      <c r="BE699" s="41"/>
      <c r="BF699" s="41"/>
      <c r="BG699" s="456">
        <f t="shared" si="34"/>
        <v>0</v>
      </c>
      <c r="BH699" s="462">
        <f t="shared" si="35"/>
        <v>0</v>
      </c>
      <c r="BI699" s="464" t="str">
        <f t="shared" si="36"/>
        <v xml:space="preserve"> </v>
      </c>
      <c r="BJ699" s="41"/>
      <c r="BK699" s="41"/>
      <c r="BL699" s="41"/>
      <c r="BM699" s="41"/>
      <c r="BN699" s="41"/>
      <c r="BO699" s="41"/>
      <c r="BP699" s="587" t="s">
        <v>435</v>
      </c>
      <c r="BQ699" s="586">
        <v>1364</v>
      </c>
      <c r="BR699" s="586">
        <v>1462</v>
      </c>
      <c r="BS699" s="586">
        <v>1754</v>
      </c>
      <c r="BT699" s="586">
        <v>2026</v>
      </c>
      <c r="BU699" s="586">
        <v>2260</v>
      </c>
      <c r="BV699" s="586">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6" t="s">
        <v>816</v>
      </c>
      <c r="C700" s="1287"/>
      <c r="D700" s="1287"/>
      <c r="E700" s="1287"/>
      <c r="F700" s="1288"/>
      <c r="G700" s="1228">
        <v>1</v>
      </c>
      <c r="H700" s="1229"/>
      <c r="I700" s="1229"/>
      <c r="J700" s="1230"/>
      <c r="K700" s="1218" t="s">
        <v>2514</v>
      </c>
      <c r="L700" s="1219"/>
      <c r="M700" s="1219"/>
      <c r="N700" s="1220"/>
      <c r="O700" s="1221">
        <v>1164</v>
      </c>
      <c r="P700" s="1222"/>
      <c r="Q700" s="1222"/>
      <c r="R700" s="1222"/>
      <c r="S700" s="1223"/>
      <c r="T700" s="1194">
        <f t="shared" si="37"/>
        <v>1164</v>
      </c>
      <c r="U700" s="1195"/>
      <c r="V700" s="1195"/>
      <c r="W700" s="1195"/>
      <c r="X700" s="1196"/>
      <c r="Y700" s="1221">
        <v>42</v>
      </c>
      <c r="Z700" s="1222"/>
      <c r="AA700" s="1222"/>
      <c r="AB700" s="1223"/>
      <c r="AC700" s="1194">
        <f t="shared" si="38"/>
        <v>1206</v>
      </c>
      <c r="AD700" s="1195"/>
      <c r="AE700" s="1195"/>
      <c r="AF700" s="1195"/>
      <c r="AG700" s="1196"/>
      <c r="AH700" s="1225">
        <v>0.45</v>
      </c>
      <c r="AI700" s="1226"/>
      <c r="AJ700" s="1226"/>
      <c r="AK700" s="1226"/>
      <c r="AL700" s="1227"/>
      <c r="AM700" s="1191">
        <f t="shared" si="39"/>
        <v>0.45</v>
      </c>
      <c r="AN700" s="1192"/>
      <c r="AO700" s="1193"/>
      <c r="BA700" s="41"/>
      <c r="BB700" s="41"/>
      <c r="BC700" s="41"/>
      <c r="BD700" s="41"/>
      <c r="BE700" s="41"/>
      <c r="BF700" s="41"/>
      <c r="BG700" s="457">
        <f t="shared" si="34"/>
        <v>0</v>
      </c>
      <c r="BH700" s="463">
        <f t="shared" si="35"/>
        <v>0</v>
      </c>
      <c r="BI700" s="464" t="str">
        <f t="shared" si="36"/>
        <v xml:space="preserve"> </v>
      </c>
      <c r="BJ700" s="41"/>
      <c r="BK700" s="41"/>
      <c r="BL700" s="41"/>
      <c r="BM700" s="41"/>
      <c r="BN700" s="41"/>
      <c r="BO700" s="41"/>
      <c r="BP700" s="587" t="s">
        <v>436</v>
      </c>
      <c r="BQ700" s="586">
        <v>1406</v>
      </c>
      <c r="BR700" s="586">
        <v>1506</v>
      </c>
      <c r="BS700" s="586">
        <v>1806</v>
      </c>
      <c r="BT700" s="586">
        <v>2088</v>
      </c>
      <c r="BU700" s="586">
        <v>2330</v>
      </c>
      <c r="BV700" s="586">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6" t="s">
        <v>816</v>
      </c>
      <c r="C701" s="1287"/>
      <c r="D701" s="1287"/>
      <c r="E701" s="1287"/>
      <c r="F701" s="1288"/>
      <c r="G701" s="1228">
        <v>6</v>
      </c>
      <c r="H701" s="1229"/>
      <c r="I701" s="1229"/>
      <c r="J701" s="1230"/>
      <c r="K701" s="1218" t="s">
        <v>2514</v>
      </c>
      <c r="L701" s="1219"/>
      <c r="M701" s="1219"/>
      <c r="N701" s="1220"/>
      <c r="O701" s="1221">
        <v>1164</v>
      </c>
      <c r="P701" s="1222"/>
      <c r="Q701" s="1222"/>
      <c r="R701" s="1222"/>
      <c r="S701" s="1223"/>
      <c r="T701" s="1194">
        <f t="shared" si="37"/>
        <v>6984</v>
      </c>
      <c r="U701" s="1195"/>
      <c r="V701" s="1195"/>
      <c r="W701" s="1195"/>
      <c r="X701" s="1196"/>
      <c r="Y701" s="1221">
        <v>42</v>
      </c>
      <c r="Z701" s="1222"/>
      <c r="AA701" s="1222"/>
      <c r="AB701" s="1223"/>
      <c r="AC701" s="1194">
        <f t="shared" si="38"/>
        <v>1206</v>
      </c>
      <c r="AD701" s="1195"/>
      <c r="AE701" s="1195"/>
      <c r="AF701" s="1195"/>
      <c r="AG701" s="1196"/>
      <c r="AH701" s="1225">
        <v>0.45</v>
      </c>
      <c r="AI701" s="1226"/>
      <c r="AJ701" s="1226"/>
      <c r="AK701" s="1226"/>
      <c r="AL701" s="1227"/>
      <c r="AM701" s="1191">
        <f t="shared" si="39"/>
        <v>0.45</v>
      </c>
      <c r="AN701" s="1192"/>
      <c r="AO701" s="1193"/>
      <c r="BA701" s="41"/>
      <c r="BB701" s="41"/>
      <c r="BC701" s="41"/>
      <c r="BD701" s="41"/>
      <c r="BE701" s="42"/>
      <c r="BF701" s="62" t="s">
        <v>915</v>
      </c>
      <c r="BG701" s="465">
        <f>SUM(BG676:BG700)</f>
        <v>73</v>
      </c>
      <c r="BH701" s="466">
        <f>SUM(BH676:BH700)</f>
        <v>1</v>
      </c>
      <c r="BI701" s="466">
        <f>SUM(BI676:BI700)</f>
        <v>0.49383561643835611</v>
      </c>
      <c r="BJ701" s="41"/>
      <c r="BK701" s="41"/>
      <c r="BL701" s="41"/>
      <c r="BM701" s="41"/>
      <c r="BN701" s="41"/>
      <c r="BO701" s="41"/>
      <c r="BP701" s="587" t="s">
        <v>437</v>
      </c>
      <c r="BQ701" s="586">
        <v>1990</v>
      </c>
      <c r="BR701" s="586">
        <v>2132</v>
      </c>
      <c r="BS701" s="586">
        <v>2560</v>
      </c>
      <c r="BT701" s="586">
        <v>2956</v>
      </c>
      <c r="BU701" s="586">
        <v>3296</v>
      </c>
      <c r="BV701" s="586">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6" t="s">
        <v>816</v>
      </c>
      <c r="C702" s="1287"/>
      <c r="D702" s="1287"/>
      <c r="E702" s="1287"/>
      <c r="F702" s="1288"/>
      <c r="G702" s="1228">
        <v>4</v>
      </c>
      <c r="H702" s="1229"/>
      <c r="I702" s="1229"/>
      <c r="J702" s="1230"/>
      <c r="K702" s="1218" t="s">
        <v>2514</v>
      </c>
      <c r="L702" s="1219"/>
      <c r="M702" s="1219"/>
      <c r="N702" s="1220"/>
      <c r="O702" s="1221">
        <v>1164</v>
      </c>
      <c r="P702" s="1222"/>
      <c r="Q702" s="1222"/>
      <c r="R702" s="1222"/>
      <c r="S702" s="1223"/>
      <c r="T702" s="1194">
        <f t="shared" si="37"/>
        <v>4656</v>
      </c>
      <c r="U702" s="1195"/>
      <c r="V702" s="1195"/>
      <c r="W702" s="1195"/>
      <c r="X702" s="1196"/>
      <c r="Y702" s="1221">
        <v>42</v>
      </c>
      <c r="Z702" s="1222"/>
      <c r="AA702" s="1222"/>
      <c r="AB702" s="1223"/>
      <c r="AC702" s="1194">
        <f t="shared" si="38"/>
        <v>1206</v>
      </c>
      <c r="AD702" s="1195"/>
      <c r="AE702" s="1195"/>
      <c r="AF702" s="1195"/>
      <c r="AG702" s="1196"/>
      <c r="AH702" s="1225">
        <v>0.45</v>
      </c>
      <c r="AI702" s="1226"/>
      <c r="AJ702" s="1226"/>
      <c r="AK702" s="1226"/>
      <c r="AL702" s="1227"/>
      <c r="AM702" s="1191">
        <f t="shared" si="39"/>
        <v>0.45</v>
      </c>
      <c r="AN702" s="1192"/>
      <c r="AO702" s="1193"/>
      <c r="BA702" s="41"/>
      <c r="BB702" s="41"/>
      <c r="BC702" s="41"/>
      <c r="BD702" s="41"/>
      <c r="BE702" s="41"/>
      <c r="BF702" s="41"/>
      <c r="BG702" s="41"/>
      <c r="BH702" s="41"/>
      <c r="BI702" s="41"/>
      <c r="BJ702" s="41"/>
      <c r="BK702" s="41"/>
      <c r="BL702" s="41"/>
      <c r="BM702" s="41"/>
      <c r="BN702" s="41"/>
      <c r="BO702" s="41"/>
      <c r="BP702" s="587" t="s">
        <v>438</v>
      </c>
      <c r="BQ702" s="586">
        <v>2206</v>
      </c>
      <c r="BR702" s="586">
        <v>2364</v>
      </c>
      <c r="BS702" s="586">
        <v>2836</v>
      </c>
      <c r="BT702" s="586">
        <v>3278</v>
      </c>
      <c r="BU702" s="586">
        <v>3656</v>
      </c>
      <c r="BV702" s="586">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6" t="s">
        <v>816</v>
      </c>
      <c r="C703" s="1287"/>
      <c r="D703" s="1287"/>
      <c r="E703" s="1287"/>
      <c r="F703" s="1288"/>
      <c r="G703" s="1228">
        <v>8</v>
      </c>
      <c r="H703" s="1229"/>
      <c r="I703" s="1229"/>
      <c r="J703" s="1230"/>
      <c r="K703" s="1218" t="s">
        <v>2514</v>
      </c>
      <c r="L703" s="1219"/>
      <c r="M703" s="1219"/>
      <c r="N703" s="1220"/>
      <c r="O703" s="1221">
        <v>1298</v>
      </c>
      <c r="P703" s="1222"/>
      <c r="Q703" s="1222"/>
      <c r="R703" s="1222"/>
      <c r="S703" s="1223"/>
      <c r="T703" s="1194">
        <f t="shared" si="37"/>
        <v>10384</v>
      </c>
      <c r="U703" s="1195"/>
      <c r="V703" s="1195"/>
      <c r="W703" s="1195"/>
      <c r="X703" s="1196"/>
      <c r="Y703" s="1221">
        <v>42</v>
      </c>
      <c r="Z703" s="1222"/>
      <c r="AA703" s="1222"/>
      <c r="AB703" s="1223"/>
      <c r="AC703" s="1194">
        <f t="shared" si="38"/>
        <v>1340</v>
      </c>
      <c r="AD703" s="1195"/>
      <c r="AE703" s="1195"/>
      <c r="AF703" s="1195"/>
      <c r="AG703" s="1196"/>
      <c r="AH703" s="1225">
        <v>0.5</v>
      </c>
      <c r="AI703" s="1226"/>
      <c r="AJ703" s="1226"/>
      <c r="AK703" s="1226"/>
      <c r="AL703" s="1227"/>
      <c r="AM703" s="1191">
        <f t="shared" si="39"/>
        <v>0.5</v>
      </c>
      <c r="AN703" s="1192"/>
      <c r="AO703" s="1193"/>
      <c r="BA703" s="41"/>
      <c r="BB703" s="41"/>
      <c r="BC703" s="41"/>
      <c r="BD703" s="41"/>
      <c r="BE703" s="41"/>
      <c r="BF703" s="41"/>
      <c r="BG703" s="41"/>
      <c r="BH703" s="41"/>
      <c r="BI703" s="41"/>
      <c r="BJ703" s="41"/>
      <c r="BK703" s="41"/>
      <c r="BL703" s="41"/>
      <c r="BM703" s="41"/>
      <c r="BN703" s="41"/>
      <c r="BO703" s="41"/>
      <c r="BP703" s="587" t="s">
        <v>879</v>
      </c>
      <c r="BQ703" s="586">
        <v>1722</v>
      </c>
      <c r="BR703" s="586">
        <v>1846</v>
      </c>
      <c r="BS703" s="586">
        <v>2214</v>
      </c>
      <c r="BT703" s="586">
        <v>2558</v>
      </c>
      <c r="BU703" s="586">
        <v>2854</v>
      </c>
      <c r="BV703" s="586">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6" t="s">
        <v>816</v>
      </c>
      <c r="C704" s="1287"/>
      <c r="D704" s="1287"/>
      <c r="E704" s="1287"/>
      <c r="F704" s="1288"/>
      <c r="G704" s="1228">
        <v>6</v>
      </c>
      <c r="H704" s="1229"/>
      <c r="I704" s="1229"/>
      <c r="J704" s="1230"/>
      <c r="K704" s="1218" t="s">
        <v>2514</v>
      </c>
      <c r="L704" s="1219"/>
      <c r="M704" s="1219"/>
      <c r="N704" s="1220"/>
      <c r="O704" s="1221">
        <v>1298</v>
      </c>
      <c r="P704" s="1222"/>
      <c r="Q704" s="1222"/>
      <c r="R704" s="1222"/>
      <c r="S704" s="1223"/>
      <c r="T704" s="1194">
        <f t="shared" si="37"/>
        <v>7788</v>
      </c>
      <c r="U704" s="1195"/>
      <c r="V704" s="1195"/>
      <c r="W704" s="1195"/>
      <c r="X704" s="1196"/>
      <c r="Y704" s="1221">
        <v>42</v>
      </c>
      <c r="Z704" s="1222"/>
      <c r="AA704" s="1222"/>
      <c r="AB704" s="1223"/>
      <c r="AC704" s="1194">
        <f t="shared" si="38"/>
        <v>1340</v>
      </c>
      <c r="AD704" s="1195"/>
      <c r="AE704" s="1195"/>
      <c r="AF704" s="1195"/>
      <c r="AG704" s="1196"/>
      <c r="AH704" s="1225">
        <v>0.5</v>
      </c>
      <c r="AI704" s="1226"/>
      <c r="AJ704" s="1226"/>
      <c r="AK704" s="1226"/>
      <c r="AL704" s="1227"/>
      <c r="AM704" s="1191">
        <f t="shared" si="39"/>
        <v>0.5</v>
      </c>
      <c r="AN704" s="1192"/>
      <c r="AO704" s="1193"/>
      <c r="BA704" s="41"/>
      <c r="BB704" s="41"/>
      <c r="BC704" s="41"/>
      <c r="BD704" s="41"/>
      <c r="BE704" s="41"/>
      <c r="BF704" s="41"/>
      <c r="BG704" s="41"/>
      <c r="BH704" s="41"/>
      <c r="BI704" s="41"/>
      <c r="BJ704" s="41"/>
      <c r="BK704" s="41"/>
      <c r="BL704" s="41"/>
      <c r="BM704" s="41"/>
      <c r="BN704" s="41"/>
      <c r="BO704" s="41"/>
      <c r="BP704" s="587" t="s">
        <v>880</v>
      </c>
      <c r="BQ704" s="586">
        <v>2372</v>
      </c>
      <c r="BR704" s="586">
        <v>2540</v>
      </c>
      <c r="BS704" s="586">
        <v>3050</v>
      </c>
      <c r="BT704" s="586">
        <v>3522</v>
      </c>
      <c r="BU704" s="586">
        <v>3930</v>
      </c>
      <c r="BV704" s="586">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6" t="s">
        <v>816</v>
      </c>
      <c r="C705" s="1287"/>
      <c r="D705" s="1287"/>
      <c r="E705" s="1287"/>
      <c r="F705" s="1288"/>
      <c r="G705" s="1228">
        <v>3</v>
      </c>
      <c r="H705" s="1229"/>
      <c r="I705" s="1229"/>
      <c r="J705" s="1230"/>
      <c r="K705" s="1218" t="s">
        <v>2514</v>
      </c>
      <c r="L705" s="1219"/>
      <c r="M705" s="1219"/>
      <c r="N705" s="1220"/>
      <c r="O705" s="1221">
        <v>1566</v>
      </c>
      <c r="P705" s="1222"/>
      <c r="Q705" s="1222"/>
      <c r="R705" s="1222"/>
      <c r="S705" s="1223"/>
      <c r="T705" s="1194">
        <f t="shared" si="37"/>
        <v>4698</v>
      </c>
      <c r="U705" s="1195"/>
      <c r="V705" s="1195"/>
      <c r="W705" s="1195"/>
      <c r="X705" s="1196"/>
      <c r="Y705" s="1221">
        <v>42</v>
      </c>
      <c r="Z705" s="1222"/>
      <c r="AA705" s="1222"/>
      <c r="AB705" s="1223"/>
      <c r="AC705" s="1194">
        <f t="shared" si="38"/>
        <v>1608</v>
      </c>
      <c r="AD705" s="1195"/>
      <c r="AE705" s="1195"/>
      <c r="AF705" s="1195"/>
      <c r="AG705" s="1196"/>
      <c r="AH705" s="1225">
        <v>0.6</v>
      </c>
      <c r="AI705" s="1226"/>
      <c r="AJ705" s="1226"/>
      <c r="AK705" s="1226"/>
      <c r="AL705" s="1227"/>
      <c r="AM705" s="1191">
        <f t="shared" si="39"/>
        <v>0.6</v>
      </c>
      <c r="AN705" s="1192"/>
      <c r="AO705" s="1193"/>
      <c r="BA705" s="41"/>
      <c r="BB705" s="41"/>
      <c r="BC705" s="41"/>
      <c r="BD705" s="41"/>
      <c r="BE705" s="41"/>
      <c r="BF705" s="41"/>
      <c r="BG705" s="864" t="s">
        <v>2095</v>
      </c>
      <c r="BH705" s="865"/>
      <c r="BI705" s="865"/>
      <c r="BJ705" s="41"/>
      <c r="BK705" s="41"/>
      <c r="BL705" s="41"/>
      <c r="BM705" s="41"/>
      <c r="BN705" s="41"/>
      <c r="BO705" s="41"/>
      <c r="BP705" s="587" t="s">
        <v>881</v>
      </c>
      <c r="BQ705" s="586">
        <v>1774</v>
      </c>
      <c r="BR705" s="586">
        <v>1900</v>
      </c>
      <c r="BS705" s="586">
        <v>2280</v>
      </c>
      <c r="BT705" s="586">
        <v>2634</v>
      </c>
      <c r="BU705" s="586">
        <v>2940</v>
      </c>
      <c r="BV705" s="586">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6" t="s">
        <v>816</v>
      </c>
      <c r="C706" s="1287"/>
      <c r="D706" s="1287"/>
      <c r="E706" s="1287"/>
      <c r="F706" s="1288"/>
      <c r="G706" s="1228">
        <v>18</v>
      </c>
      <c r="H706" s="1229"/>
      <c r="I706" s="1229"/>
      <c r="J706" s="1230"/>
      <c r="K706" s="1218" t="s">
        <v>2514</v>
      </c>
      <c r="L706" s="1219"/>
      <c r="M706" s="1219"/>
      <c r="N706" s="1220"/>
      <c r="O706" s="1221">
        <v>1566</v>
      </c>
      <c r="P706" s="1222"/>
      <c r="Q706" s="1222"/>
      <c r="R706" s="1222"/>
      <c r="S706" s="1223"/>
      <c r="T706" s="1194">
        <f t="shared" si="37"/>
        <v>28188</v>
      </c>
      <c r="U706" s="1195"/>
      <c r="V706" s="1195"/>
      <c r="W706" s="1195"/>
      <c r="X706" s="1196"/>
      <c r="Y706" s="1221">
        <v>42</v>
      </c>
      <c r="Z706" s="1222"/>
      <c r="AA706" s="1222"/>
      <c r="AB706" s="1223"/>
      <c r="AC706" s="1194">
        <f t="shared" si="38"/>
        <v>1608</v>
      </c>
      <c r="AD706" s="1195"/>
      <c r="AE706" s="1195"/>
      <c r="AF706" s="1195"/>
      <c r="AG706" s="1196"/>
      <c r="AH706" s="1225">
        <v>0.6</v>
      </c>
      <c r="AI706" s="1226"/>
      <c r="AJ706" s="1226"/>
      <c r="AK706" s="1226"/>
      <c r="AL706" s="1227"/>
      <c r="AM706" s="1191">
        <f t="shared" si="39"/>
        <v>0.6</v>
      </c>
      <c r="AN706" s="1192"/>
      <c r="AO706" s="1193"/>
      <c r="BA706" s="41"/>
      <c r="BB706" s="41"/>
      <c r="BC706" s="41"/>
      <c r="BD706" s="41"/>
      <c r="BE706" s="41"/>
      <c r="BF706" s="41"/>
      <c r="BG706" s="866" t="s">
        <v>1183</v>
      </c>
      <c r="BH706" s="867" t="s">
        <v>1184</v>
      </c>
      <c r="BI706" s="868" t="s">
        <v>1185</v>
      </c>
      <c r="BJ706" s="41"/>
      <c r="BK706" s="41"/>
      <c r="BL706" s="41"/>
      <c r="BM706" s="41"/>
      <c r="BN706" s="41"/>
      <c r="BO706" s="41"/>
      <c r="BP706" s="587" t="s">
        <v>882</v>
      </c>
      <c r="BQ706" s="586">
        <v>1430</v>
      </c>
      <c r="BR706" s="586">
        <v>1532</v>
      </c>
      <c r="BS706" s="586">
        <v>1840</v>
      </c>
      <c r="BT706" s="586">
        <v>2124</v>
      </c>
      <c r="BU706" s="586">
        <v>2370</v>
      </c>
      <c r="BV706" s="586">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6" t="s">
        <v>817</v>
      </c>
      <c r="C707" s="1287"/>
      <c r="D707" s="1287"/>
      <c r="E707" s="1287"/>
      <c r="F707" s="1288"/>
      <c r="G707" s="1228">
        <v>1</v>
      </c>
      <c r="H707" s="1229"/>
      <c r="I707" s="1229"/>
      <c r="J707" s="1230"/>
      <c r="K707" s="1218">
        <v>1096</v>
      </c>
      <c r="L707" s="1219"/>
      <c r="M707" s="1219"/>
      <c r="N707" s="1220"/>
      <c r="O707" s="1221">
        <v>856</v>
      </c>
      <c r="P707" s="1222"/>
      <c r="Q707" s="1222"/>
      <c r="R707" s="1222"/>
      <c r="S707" s="1223"/>
      <c r="T707" s="1194">
        <f t="shared" si="37"/>
        <v>856</v>
      </c>
      <c r="U707" s="1195"/>
      <c r="V707" s="1195"/>
      <c r="W707" s="1195"/>
      <c r="X707" s="1196"/>
      <c r="Y707" s="1221">
        <v>72</v>
      </c>
      <c r="Z707" s="1222"/>
      <c r="AA707" s="1222"/>
      <c r="AB707" s="1223"/>
      <c r="AC707" s="1194">
        <f t="shared" si="38"/>
        <v>928</v>
      </c>
      <c r="AD707" s="1195"/>
      <c r="AE707" s="1195"/>
      <c r="AF707" s="1195"/>
      <c r="AG707" s="1196"/>
      <c r="AH707" s="1225">
        <v>0.3</v>
      </c>
      <c r="AI707" s="1226"/>
      <c r="AJ707" s="1226"/>
      <c r="AK707" s="1226"/>
      <c r="AL707" s="1227"/>
      <c r="AM707" s="1191">
        <f t="shared" si="39"/>
        <v>0.29974160206718348</v>
      </c>
      <c r="AN707" s="1192"/>
      <c r="AO707" s="1193"/>
      <c r="BA707" s="41"/>
      <c r="BB707" s="41"/>
      <c r="BC707" s="41"/>
      <c r="BD707" s="41"/>
      <c r="BE707" s="41"/>
      <c r="BF707" s="41"/>
      <c r="BG707" s="869">
        <f>G692</f>
        <v>1</v>
      </c>
      <c r="BH707" s="873">
        <f>BG707/$BG$732</f>
        <v>1.3698630136986301E-2</v>
      </c>
      <c r="BI707" s="874">
        <f>IF(BH707=0," ",BH707*AM692)</f>
        <v>4.1082743932900371E-3</v>
      </c>
      <c r="BJ707" s="41"/>
      <c r="BK707" s="41"/>
      <c r="BL707" s="41"/>
      <c r="BM707" s="41"/>
      <c r="BN707" s="41"/>
      <c r="BO707" s="41"/>
      <c r="BP707" s="587" t="s">
        <v>117</v>
      </c>
      <c r="BQ707" s="586">
        <v>1540</v>
      </c>
      <c r="BR707" s="586">
        <v>1650</v>
      </c>
      <c r="BS707" s="586">
        <v>1980</v>
      </c>
      <c r="BT707" s="586">
        <v>2288</v>
      </c>
      <c r="BU707" s="586">
        <v>2552</v>
      </c>
      <c r="BV707" s="586">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6" t="s">
        <v>817</v>
      </c>
      <c r="C708" s="1287"/>
      <c r="D708" s="1287"/>
      <c r="E708" s="1287"/>
      <c r="F708" s="1288"/>
      <c r="G708" s="1228">
        <v>1</v>
      </c>
      <c r="H708" s="1229"/>
      <c r="I708" s="1229"/>
      <c r="J708" s="1230"/>
      <c r="K708" s="1218">
        <v>1096</v>
      </c>
      <c r="L708" s="1219"/>
      <c r="M708" s="1219"/>
      <c r="N708" s="1220"/>
      <c r="O708" s="1221">
        <v>1321</v>
      </c>
      <c r="P708" s="1222"/>
      <c r="Q708" s="1222"/>
      <c r="R708" s="1222"/>
      <c r="S708" s="1223"/>
      <c r="T708" s="1194">
        <f t="shared" si="37"/>
        <v>1321</v>
      </c>
      <c r="U708" s="1195"/>
      <c r="V708" s="1195"/>
      <c r="W708" s="1195"/>
      <c r="X708" s="1196"/>
      <c r="Y708" s="1221">
        <v>72</v>
      </c>
      <c r="Z708" s="1222"/>
      <c r="AA708" s="1222"/>
      <c r="AB708" s="1223"/>
      <c r="AC708" s="1194">
        <f t="shared" si="38"/>
        <v>1393</v>
      </c>
      <c r="AD708" s="1195"/>
      <c r="AE708" s="1195"/>
      <c r="AF708" s="1195"/>
      <c r="AG708" s="1196"/>
      <c r="AH708" s="1225">
        <v>0.45</v>
      </c>
      <c r="AI708" s="1226"/>
      <c r="AJ708" s="1226"/>
      <c r="AK708" s="1226"/>
      <c r="AL708" s="1227"/>
      <c r="AM708" s="1191">
        <f t="shared" si="39"/>
        <v>0.44993540051679587</v>
      </c>
      <c r="AN708" s="1192"/>
      <c r="AO708" s="1193"/>
      <c r="BA708" s="41"/>
      <c r="BB708" s="41"/>
      <c r="BC708" s="41"/>
      <c r="BD708" s="41"/>
      <c r="BE708" s="41"/>
      <c r="BF708" s="41"/>
      <c r="BG708" s="869">
        <f t="shared" ref="BG708:BG731" si="40">G693</f>
        <v>1</v>
      </c>
      <c r="BH708" s="873">
        <f t="shared" ref="BH708:BH731" si="41">BG708/$BG$732</f>
        <v>1.3698630136986301E-2</v>
      </c>
      <c r="BI708" s="874">
        <f t="shared" ref="BI708:BI731" si="42">IF(BH708=0," ",BH708*AM693)</f>
        <v>6.1591249704204239E-3</v>
      </c>
      <c r="BJ708" s="41"/>
      <c r="BK708" s="41"/>
      <c r="BL708" s="41"/>
      <c r="BM708" s="41"/>
      <c r="BN708" s="41"/>
      <c r="BO708" s="41"/>
      <c r="BP708" s="587" t="s">
        <v>118</v>
      </c>
      <c r="BQ708" s="586">
        <v>1774</v>
      </c>
      <c r="BR708" s="586">
        <v>1900</v>
      </c>
      <c r="BS708" s="586">
        <v>2280</v>
      </c>
      <c r="BT708" s="586">
        <v>2634</v>
      </c>
      <c r="BU708" s="586">
        <v>2940</v>
      </c>
      <c r="BV708" s="586">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6"/>
      <c r="C709" s="1287"/>
      <c r="D709" s="1287"/>
      <c r="E709" s="1287"/>
      <c r="F709" s="1288"/>
      <c r="G709" s="1228"/>
      <c r="H709" s="1229"/>
      <c r="I709" s="1229"/>
      <c r="J709" s="1230"/>
      <c r="K709" s="1218"/>
      <c r="L709" s="1219"/>
      <c r="M709" s="1219"/>
      <c r="N709" s="1220"/>
      <c r="O709" s="1221"/>
      <c r="P709" s="1222"/>
      <c r="Q709" s="1222"/>
      <c r="R709" s="1222"/>
      <c r="S709" s="1223"/>
      <c r="T709" s="1194">
        <f t="shared" si="37"/>
        <v>0</v>
      </c>
      <c r="U709" s="1195"/>
      <c r="V709" s="1195"/>
      <c r="W709" s="1195"/>
      <c r="X709" s="1196"/>
      <c r="Y709" s="1221"/>
      <c r="Z709" s="1222"/>
      <c r="AA709" s="1222"/>
      <c r="AB709" s="1223"/>
      <c r="AC709" s="1194">
        <f t="shared" si="38"/>
        <v>0</v>
      </c>
      <c r="AD709" s="1195"/>
      <c r="AE709" s="1195"/>
      <c r="AF709" s="1195"/>
      <c r="AG709" s="1196"/>
      <c r="AH709" s="1225"/>
      <c r="AI709" s="1226"/>
      <c r="AJ709" s="1226"/>
      <c r="AK709" s="1226"/>
      <c r="AL709" s="1227"/>
      <c r="AM709" s="1191" t="str">
        <f t="shared" si="39"/>
        <v xml:space="preserve"> </v>
      </c>
      <c r="AN709" s="1192"/>
      <c r="AO709" s="1193"/>
      <c r="BA709" s="43"/>
      <c r="BB709" s="43"/>
      <c r="BC709" s="43"/>
      <c r="BD709" s="43"/>
      <c r="BE709" s="43"/>
      <c r="BF709" s="43"/>
      <c r="BG709" s="869">
        <f t="shared" si="40"/>
        <v>2</v>
      </c>
      <c r="BH709" s="873">
        <f t="shared" si="41"/>
        <v>2.7397260273972601E-2</v>
      </c>
      <c r="BI709" s="874">
        <f t="shared" si="42"/>
        <v>8.2118132272794228E-3</v>
      </c>
      <c r="BJ709" s="43"/>
      <c r="BK709" s="43"/>
      <c r="BL709" s="43"/>
      <c r="BM709" s="43"/>
      <c r="BN709" s="43"/>
      <c r="BO709" s="43"/>
      <c r="BP709" s="587" t="s">
        <v>119</v>
      </c>
      <c r="BQ709" s="586">
        <v>1840</v>
      </c>
      <c r="BR709" s="586">
        <v>1970</v>
      </c>
      <c r="BS709" s="586">
        <v>2364</v>
      </c>
      <c r="BT709" s="586">
        <v>2732</v>
      </c>
      <c r="BU709" s="586">
        <v>3050</v>
      </c>
      <c r="BV709" s="586">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6"/>
      <c r="C710" s="1287"/>
      <c r="D710" s="1287"/>
      <c r="E710" s="1287"/>
      <c r="F710" s="1288"/>
      <c r="G710" s="1228"/>
      <c r="H710" s="1229"/>
      <c r="I710" s="1229"/>
      <c r="J710" s="1230"/>
      <c r="K710" s="1218"/>
      <c r="L710" s="1219"/>
      <c r="M710" s="1219"/>
      <c r="N710" s="1220"/>
      <c r="O710" s="1221"/>
      <c r="P710" s="1222"/>
      <c r="Q710" s="1222"/>
      <c r="R710" s="1222"/>
      <c r="S710" s="1223"/>
      <c r="T710" s="1194">
        <f t="shared" si="37"/>
        <v>0</v>
      </c>
      <c r="U710" s="1195"/>
      <c r="V710" s="1195"/>
      <c r="W710" s="1195"/>
      <c r="X710" s="1196"/>
      <c r="Y710" s="1221"/>
      <c r="Z710" s="1222"/>
      <c r="AA710" s="1222"/>
      <c r="AB710" s="1223"/>
      <c r="AC710" s="1194">
        <f t="shared" si="38"/>
        <v>0</v>
      </c>
      <c r="AD710" s="1195"/>
      <c r="AE710" s="1195"/>
      <c r="AF710" s="1195"/>
      <c r="AG710" s="1196"/>
      <c r="AH710" s="1225"/>
      <c r="AI710" s="1226"/>
      <c r="AJ710" s="1226"/>
      <c r="AK710" s="1226"/>
      <c r="AL710" s="1227"/>
      <c r="AM710" s="1191" t="str">
        <f t="shared" si="39"/>
        <v xml:space="preserve"> </v>
      </c>
      <c r="AN710" s="1192"/>
      <c r="AO710" s="1193"/>
      <c r="BA710" s="43"/>
      <c r="BB710" s="43"/>
      <c r="BC710" s="43"/>
      <c r="BD710" s="43"/>
      <c r="BE710" s="43"/>
      <c r="BF710" s="43"/>
      <c r="BG710" s="869">
        <f t="shared" si="40"/>
        <v>4</v>
      </c>
      <c r="BH710" s="873">
        <f t="shared" si="41"/>
        <v>5.4794520547945202E-2</v>
      </c>
      <c r="BI710" s="874">
        <f t="shared" si="42"/>
        <v>2.4647714440025531E-2</v>
      </c>
      <c r="BJ710" s="43"/>
      <c r="BK710" s="43"/>
      <c r="BL710" s="43"/>
      <c r="BM710" s="43"/>
      <c r="BN710" s="43"/>
      <c r="BO710" s="43"/>
      <c r="BP710" s="587" t="s">
        <v>120</v>
      </c>
      <c r="BQ710" s="586">
        <v>1540</v>
      </c>
      <c r="BR710" s="586">
        <v>1650</v>
      </c>
      <c r="BS710" s="586">
        <v>1980</v>
      </c>
      <c r="BT710" s="586">
        <v>2288</v>
      </c>
      <c r="BU710" s="586">
        <v>2552</v>
      </c>
      <c r="BV710" s="586">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6"/>
      <c r="C711" s="1287"/>
      <c r="D711" s="1287"/>
      <c r="E711" s="1287"/>
      <c r="F711" s="1288"/>
      <c r="G711" s="1228"/>
      <c r="H711" s="1229"/>
      <c r="I711" s="1229"/>
      <c r="J711" s="1230"/>
      <c r="K711" s="1218"/>
      <c r="L711" s="1219"/>
      <c r="M711" s="1219"/>
      <c r="N711" s="1220"/>
      <c r="O711" s="1221"/>
      <c r="P711" s="1222"/>
      <c r="Q711" s="1222"/>
      <c r="R711" s="1222"/>
      <c r="S711" s="1223"/>
      <c r="T711" s="1194">
        <f t="shared" si="37"/>
        <v>0</v>
      </c>
      <c r="U711" s="1195"/>
      <c r="V711" s="1195"/>
      <c r="W711" s="1195"/>
      <c r="X711" s="1196"/>
      <c r="Y711" s="1221"/>
      <c r="Z711" s="1222"/>
      <c r="AA711" s="1222"/>
      <c r="AB711" s="1223"/>
      <c r="AC711" s="1194">
        <f t="shared" si="38"/>
        <v>0</v>
      </c>
      <c r="AD711" s="1195"/>
      <c r="AE711" s="1195"/>
      <c r="AF711" s="1195"/>
      <c r="AG711" s="1196"/>
      <c r="AH711" s="1225"/>
      <c r="AI711" s="1226"/>
      <c r="AJ711" s="1226"/>
      <c r="AK711" s="1226"/>
      <c r="AL711" s="1227"/>
      <c r="AM711" s="1191" t="str">
        <f t="shared" si="39"/>
        <v xml:space="preserve"> </v>
      </c>
      <c r="AN711" s="1192"/>
      <c r="AO711" s="1193"/>
      <c r="BA711" s="43"/>
      <c r="BB711" s="43"/>
      <c r="BC711" s="43"/>
      <c r="BD711" s="43"/>
      <c r="BE711" s="43"/>
      <c r="BF711" s="43"/>
      <c r="BG711" s="869">
        <f t="shared" si="40"/>
        <v>5</v>
      </c>
      <c r="BH711" s="873">
        <f t="shared" si="41"/>
        <v>6.8493150684931503E-2</v>
      </c>
      <c r="BI711" s="874">
        <f t="shared" si="42"/>
        <v>3.4246575342465752E-2</v>
      </c>
      <c r="BJ711" s="43"/>
      <c r="BK711" s="43"/>
      <c r="BL711" s="43"/>
      <c r="BM711" s="43"/>
      <c r="BN711" s="43"/>
      <c r="BO711" s="43"/>
      <c r="BP711" s="587" t="s">
        <v>121</v>
      </c>
      <c r="BQ711" s="586">
        <v>2276</v>
      </c>
      <c r="BR711" s="586">
        <v>2440</v>
      </c>
      <c r="BS711" s="586">
        <v>2926</v>
      </c>
      <c r="BT711" s="586">
        <v>3382</v>
      </c>
      <c r="BU711" s="586">
        <v>3774</v>
      </c>
      <c r="BV711" s="586">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6"/>
      <c r="C712" s="1287"/>
      <c r="D712" s="1287"/>
      <c r="E712" s="1287"/>
      <c r="F712" s="1288"/>
      <c r="G712" s="1228"/>
      <c r="H712" s="1229"/>
      <c r="I712" s="1229"/>
      <c r="J712" s="1230"/>
      <c r="K712" s="1218"/>
      <c r="L712" s="1219"/>
      <c r="M712" s="1219"/>
      <c r="N712" s="1220"/>
      <c r="O712" s="1221"/>
      <c r="P712" s="1222"/>
      <c r="Q712" s="1222"/>
      <c r="R712" s="1222"/>
      <c r="S712" s="1223"/>
      <c r="T712" s="1194">
        <f t="shared" si="37"/>
        <v>0</v>
      </c>
      <c r="U712" s="1195"/>
      <c r="V712" s="1195"/>
      <c r="W712" s="1195"/>
      <c r="X712" s="1196"/>
      <c r="Y712" s="1221"/>
      <c r="Z712" s="1222"/>
      <c r="AA712" s="1222"/>
      <c r="AB712" s="1223"/>
      <c r="AC712" s="1194">
        <f t="shared" si="38"/>
        <v>0</v>
      </c>
      <c r="AD712" s="1195"/>
      <c r="AE712" s="1195"/>
      <c r="AF712" s="1195"/>
      <c r="AG712" s="1196"/>
      <c r="AH712" s="1225"/>
      <c r="AI712" s="1226"/>
      <c r="AJ712" s="1226"/>
      <c r="AK712" s="1226"/>
      <c r="AL712" s="1227"/>
      <c r="AM712" s="1191" t="str">
        <f t="shared" si="39"/>
        <v xml:space="preserve"> </v>
      </c>
      <c r="AN712" s="1192"/>
      <c r="AO712" s="1193"/>
      <c r="BA712" s="43"/>
      <c r="BB712" s="43"/>
      <c r="BC712" s="43"/>
      <c r="BD712" s="43"/>
      <c r="BE712" s="43"/>
      <c r="BF712" s="43"/>
      <c r="BG712" s="869">
        <f t="shared" si="40"/>
        <v>5</v>
      </c>
      <c r="BH712" s="873">
        <f t="shared" si="41"/>
        <v>6.8493150684931503E-2</v>
      </c>
      <c r="BI712" s="874">
        <f t="shared" si="42"/>
        <v>4.1089753031865267E-2</v>
      </c>
      <c r="BJ712" s="43"/>
      <c r="BK712" s="43"/>
      <c r="BL712" s="43"/>
      <c r="BM712" s="43"/>
      <c r="BN712" s="43"/>
      <c r="BO712" s="43"/>
      <c r="BP712" s="587" t="s">
        <v>122</v>
      </c>
      <c r="BQ712" s="586">
        <v>3262</v>
      </c>
      <c r="BR712" s="586">
        <v>3496</v>
      </c>
      <c r="BS712" s="586">
        <v>4194</v>
      </c>
      <c r="BT712" s="586">
        <v>4846</v>
      </c>
      <c r="BU712" s="586">
        <v>5406</v>
      </c>
      <c r="BV712" s="586">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6"/>
      <c r="C713" s="1287"/>
      <c r="D713" s="1287"/>
      <c r="E713" s="1287"/>
      <c r="F713" s="1288"/>
      <c r="G713" s="1228"/>
      <c r="H713" s="1229"/>
      <c r="I713" s="1229"/>
      <c r="J713" s="1230"/>
      <c r="K713" s="1218"/>
      <c r="L713" s="1219"/>
      <c r="M713" s="1219"/>
      <c r="N713" s="1220"/>
      <c r="O713" s="1221"/>
      <c r="P713" s="1222"/>
      <c r="Q713" s="1222"/>
      <c r="R713" s="1222"/>
      <c r="S713" s="1223"/>
      <c r="T713" s="1194">
        <f t="shared" si="37"/>
        <v>0</v>
      </c>
      <c r="U713" s="1195"/>
      <c r="V713" s="1195"/>
      <c r="W713" s="1195"/>
      <c r="X713" s="1196"/>
      <c r="Y713" s="1221"/>
      <c r="Z713" s="1222"/>
      <c r="AA713" s="1222"/>
      <c r="AB713" s="1223"/>
      <c r="AC713" s="1194">
        <f t="shared" si="38"/>
        <v>0</v>
      </c>
      <c r="AD713" s="1195"/>
      <c r="AE713" s="1195"/>
      <c r="AF713" s="1195"/>
      <c r="AG713" s="1196"/>
      <c r="AH713" s="1225"/>
      <c r="AI713" s="1226"/>
      <c r="AJ713" s="1226"/>
      <c r="AK713" s="1226"/>
      <c r="AL713" s="1227"/>
      <c r="AM713" s="1191" t="str">
        <f t="shared" si="39"/>
        <v xml:space="preserve"> </v>
      </c>
      <c r="AN713" s="1192"/>
      <c r="AO713" s="1193"/>
      <c r="BA713" s="43"/>
      <c r="BB713" s="43"/>
      <c r="BC713" s="43"/>
      <c r="BD713" s="43"/>
      <c r="BE713" s="43"/>
      <c r="BF713" s="43"/>
      <c r="BG713" s="869">
        <f t="shared" si="40"/>
        <v>0</v>
      </c>
      <c r="BH713" s="873">
        <f t="shared" si="41"/>
        <v>0</v>
      </c>
      <c r="BI713" s="874" t="str">
        <f t="shared" si="42"/>
        <v xml:space="preserve"> </v>
      </c>
      <c r="BJ713" s="43"/>
      <c r="BK713" s="43"/>
      <c r="BL713" s="43"/>
      <c r="BM713" s="43"/>
      <c r="BN713" s="43"/>
      <c r="BO713" s="43"/>
      <c r="BP713" s="587" t="s">
        <v>123</v>
      </c>
      <c r="BQ713" s="586">
        <v>1450</v>
      </c>
      <c r="BR713" s="586">
        <v>1552</v>
      </c>
      <c r="BS713" s="586">
        <v>1864</v>
      </c>
      <c r="BT713" s="586">
        <v>2152</v>
      </c>
      <c r="BU713" s="586">
        <v>2402</v>
      </c>
      <c r="BV713" s="586">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6"/>
      <c r="C714" s="1287"/>
      <c r="D714" s="1287"/>
      <c r="E714" s="1287"/>
      <c r="F714" s="1288"/>
      <c r="G714" s="1228"/>
      <c r="H714" s="1229"/>
      <c r="I714" s="1229"/>
      <c r="J714" s="1230"/>
      <c r="K714" s="1218"/>
      <c r="L714" s="1219"/>
      <c r="M714" s="1219"/>
      <c r="N714" s="1220"/>
      <c r="O714" s="1221"/>
      <c r="P714" s="1222"/>
      <c r="Q714" s="1222"/>
      <c r="R714" s="1222"/>
      <c r="S714" s="1223"/>
      <c r="T714" s="1194">
        <f t="shared" si="37"/>
        <v>0</v>
      </c>
      <c r="U714" s="1195"/>
      <c r="V714" s="1195"/>
      <c r="W714" s="1195"/>
      <c r="X714" s="1196"/>
      <c r="Y714" s="1221"/>
      <c r="Z714" s="1222"/>
      <c r="AA714" s="1222"/>
      <c r="AB714" s="1223"/>
      <c r="AC714" s="1194">
        <f t="shared" si="38"/>
        <v>0</v>
      </c>
      <c r="AD714" s="1195"/>
      <c r="AE714" s="1195"/>
      <c r="AF714" s="1195"/>
      <c r="AG714" s="1196"/>
      <c r="AH714" s="1225"/>
      <c r="AI714" s="1226"/>
      <c r="AJ714" s="1226"/>
      <c r="AK714" s="1226"/>
      <c r="AL714" s="1227"/>
      <c r="AM714" s="1191" t="str">
        <f t="shared" si="39"/>
        <v xml:space="preserve"> </v>
      </c>
      <c r="AN714" s="1192"/>
      <c r="AO714" s="1193"/>
      <c r="BA714" s="3"/>
      <c r="BB714" s="41"/>
      <c r="BC714" s="41"/>
      <c r="BD714" s="41"/>
      <c r="BE714" s="43"/>
      <c r="BF714" s="43"/>
      <c r="BG714" s="869">
        <f t="shared" si="40"/>
        <v>7</v>
      </c>
      <c r="BH714" s="873">
        <f t="shared" si="41"/>
        <v>9.5890410958904104E-2</v>
      </c>
      <c r="BI714" s="874">
        <f t="shared" si="42"/>
        <v>2.8767123287671229E-2</v>
      </c>
      <c r="BJ714" s="43"/>
      <c r="BK714" s="43"/>
      <c r="BL714" s="43"/>
      <c r="BM714" s="43"/>
      <c r="BN714" s="43"/>
      <c r="BO714" s="43"/>
      <c r="BP714" s="587" t="s">
        <v>124</v>
      </c>
      <c r="BQ714" s="586">
        <v>1914</v>
      </c>
      <c r="BR714" s="586">
        <v>2052</v>
      </c>
      <c r="BS714" s="586">
        <v>2462</v>
      </c>
      <c r="BT714" s="586">
        <v>2844</v>
      </c>
      <c r="BU714" s="586">
        <v>3174</v>
      </c>
      <c r="BV714" s="586">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6"/>
      <c r="C715" s="1287"/>
      <c r="D715" s="1287"/>
      <c r="E715" s="1287"/>
      <c r="F715" s="1288"/>
      <c r="G715" s="1228"/>
      <c r="H715" s="1229"/>
      <c r="I715" s="1229"/>
      <c r="J715" s="1230"/>
      <c r="K715" s="1218"/>
      <c r="L715" s="1219"/>
      <c r="M715" s="1219"/>
      <c r="N715" s="1220"/>
      <c r="O715" s="1221"/>
      <c r="P715" s="1222"/>
      <c r="Q715" s="1222"/>
      <c r="R715" s="1222"/>
      <c r="S715" s="1223"/>
      <c r="T715" s="1194">
        <f t="shared" si="37"/>
        <v>0</v>
      </c>
      <c r="U715" s="1195"/>
      <c r="V715" s="1195"/>
      <c r="W715" s="1195"/>
      <c r="X715" s="1196"/>
      <c r="Y715" s="1221"/>
      <c r="Z715" s="1222"/>
      <c r="AA715" s="1222"/>
      <c r="AB715" s="1223"/>
      <c r="AC715" s="1194">
        <f t="shared" si="38"/>
        <v>0</v>
      </c>
      <c r="AD715" s="1195"/>
      <c r="AE715" s="1195"/>
      <c r="AF715" s="1195"/>
      <c r="AG715" s="1196"/>
      <c r="AH715" s="1225"/>
      <c r="AI715" s="1226"/>
      <c r="AJ715" s="1226"/>
      <c r="AK715" s="1226"/>
      <c r="AL715" s="1227"/>
      <c r="AM715" s="1191" t="str">
        <f t="shared" si="39"/>
        <v xml:space="preserve"> </v>
      </c>
      <c r="AN715" s="1192"/>
      <c r="AO715" s="1193"/>
      <c r="BA715" s="41"/>
      <c r="BB715" s="41"/>
      <c r="BC715" s="41"/>
      <c r="BD715" s="41"/>
      <c r="BE715" s="43"/>
      <c r="BF715" s="43"/>
      <c r="BG715" s="869">
        <f t="shared" si="40"/>
        <v>1</v>
      </c>
      <c r="BH715" s="873">
        <f t="shared" si="41"/>
        <v>1.3698630136986301E-2</v>
      </c>
      <c r="BI715" s="874">
        <f t="shared" si="42"/>
        <v>6.1643835616438354E-3</v>
      </c>
      <c r="BJ715" s="43"/>
      <c r="BK715" s="43"/>
      <c r="BL715" s="43"/>
      <c r="BM715" s="43"/>
      <c r="BN715" s="43"/>
      <c r="BO715" s="43"/>
      <c r="BP715" s="587" t="s">
        <v>125</v>
      </c>
      <c r="BQ715" s="586">
        <v>3262</v>
      </c>
      <c r="BR715" s="586">
        <v>3496</v>
      </c>
      <c r="BS715" s="586">
        <v>4194</v>
      </c>
      <c r="BT715" s="586">
        <v>4846</v>
      </c>
      <c r="BU715" s="586">
        <v>5406</v>
      </c>
      <c r="BV715" s="586">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6"/>
      <c r="C716" s="1287"/>
      <c r="D716" s="1287"/>
      <c r="E716" s="1287"/>
      <c r="F716" s="1288"/>
      <c r="G716" s="1228"/>
      <c r="H716" s="1229"/>
      <c r="I716" s="1229"/>
      <c r="J716" s="1230"/>
      <c r="K716" s="1218"/>
      <c r="L716" s="1219"/>
      <c r="M716" s="1219"/>
      <c r="N716" s="1220"/>
      <c r="O716" s="1221"/>
      <c r="P716" s="1222"/>
      <c r="Q716" s="1222"/>
      <c r="R716" s="1222"/>
      <c r="S716" s="1223"/>
      <c r="T716" s="1194">
        <f t="shared" si="37"/>
        <v>0</v>
      </c>
      <c r="U716" s="1195"/>
      <c r="V716" s="1195"/>
      <c r="W716" s="1195"/>
      <c r="X716" s="1196"/>
      <c r="Y716" s="1221"/>
      <c r="Z716" s="1222"/>
      <c r="AA716" s="1222"/>
      <c r="AB716" s="1223"/>
      <c r="AC716" s="1194">
        <f t="shared" si="38"/>
        <v>0</v>
      </c>
      <c r="AD716" s="1195"/>
      <c r="AE716" s="1195"/>
      <c r="AF716" s="1195"/>
      <c r="AG716" s="1196"/>
      <c r="AH716" s="1225"/>
      <c r="AI716" s="1226"/>
      <c r="AJ716" s="1226"/>
      <c r="AK716" s="1226"/>
      <c r="AL716" s="1227"/>
      <c r="AM716" s="1191" t="str">
        <f t="shared" si="39"/>
        <v xml:space="preserve"> </v>
      </c>
      <c r="AN716" s="1192"/>
      <c r="AO716" s="1193"/>
      <c r="BA716" s="41"/>
      <c r="BB716" s="41"/>
      <c r="BC716" s="41"/>
      <c r="BD716" s="41"/>
      <c r="BE716" s="43"/>
      <c r="BF716" s="43"/>
      <c r="BG716" s="869">
        <f t="shared" si="40"/>
        <v>6</v>
      </c>
      <c r="BH716" s="873">
        <f t="shared" si="41"/>
        <v>8.2191780821917804E-2</v>
      </c>
      <c r="BI716" s="874">
        <f t="shared" si="42"/>
        <v>3.6986301369863014E-2</v>
      </c>
      <c r="BJ716" s="43"/>
      <c r="BK716" s="43"/>
      <c r="BL716" s="43"/>
      <c r="BM716" s="43"/>
      <c r="BN716" s="43"/>
      <c r="BO716" s="43"/>
      <c r="BP716" s="587" t="s">
        <v>843</v>
      </c>
      <c r="BQ716" s="586">
        <v>2444</v>
      </c>
      <c r="BR716" s="586">
        <v>2620</v>
      </c>
      <c r="BS716" s="586">
        <v>3144</v>
      </c>
      <c r="BT716" s="586">
        <v>3632</v>
      </c>
      <c r="BU716" s="586">
        <v>4052</v>
      </c>
      <c r="BV716" s="586">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917</v>
      </c>
      <c r="C717" s="1141"/>
      <c r="D717" s="1141"/>
      <c r="E717" s="1141"/>
      <c r="F717" s="1142"/>
      <c r="G717" s="1514">
        <f>SUM(G692:J716)</f>
        <v>73</v>
      </c>
      <c r="H717" s="1515"/>
      <c r="I717" s="1515"/>
      <c r="J717" s="1516"/>
      <c r="O717" s="439" t="s">
        <v>916</v>
      </c>
      <c r="P717" s="168"/>
      <c r="Q717" s="168"/>
      <c r="R717" s="168"/>
      <c r="S717" s="860"/>
      <c r="T717" s="1194">
        <f>SUM(T692:X716)</f>
        <v>90090</v>
      </c>
      <c r="U717" s="1195"/>
      <c r="V717" s="1195"/>
      <c r="W717" s="1195"/>
      <c r="X717" s="1196"/>
      <c r="AC717" s="861" t="s">
        <v>1186</v>
      </c>
      <c r="AD717" s="862"/>
      <c r="AE717" s="862"/>
      <c r="AF717" s="862"/>
      <c r="AG717" s="863"/>
      <c r="AH717" s="1197">
        <f>BI701</f>
        <v>0.49383561643835611</v>
      </c>
      <c r="AI717" s="1198"/>
      <c r="AJ717" s="1198"/>
      <c r="AK717" s="1198"/>
      <c r="AL717" s="1199"/>
      <c r="AM717" s="1197">
        <f>BI732</f>
        <v>0.49380129653663379</v>
      </c>
      <c r="AN717" s="1198"/>
      <c r="AO717" s="1199"/>
      <c r="BA717" s="41"/>
      <c r="BB717" s="41"/>
      <c r="BC717" s="41"/>
      <c r="BD717" s="41"/>
      <c r="BE717" s="43"/>
      <c r="BF717" s="43"/>
      <c r="BG717" s="869">
        <f t="shared" si="40"/>
        <v>4</v>
      </c>
      <c r="BH717" s="873">
        <f t="shared" si="41"/>
        <v>5.4794520547945202E-2</v>
      </c>
      <c r="BI717" s="874">
        <f t="shared" si="42"/>
        <v>2.4657534246575342E-2</v>
      </c>
      <c r="BJ717" s="43"/>
      <c r="BK717" s="43"/>
      <c r="BL717" s="43"/>
      <c r="BM717" s="43"/>
      <c r="BN717" s="43"/>
      <c r="BO717" s="43"/>
      <c r="BP717" s="587" t="s">
        <v>844</v>
      </c>
      <c r="BQ717" s="586">
        <v>2950</v>
      </c>
      <c r="BR717" s="586">
        <v>3160</v>
      </c>
      <c r="BS717" s="586">
        <v>3792</v>
      </c>
      <c r="BT717" s="586">
        <v>4380</v>
      </c>
      <c r="BU717" s="586">
        <v>4886</v>
      </c>
      <c r="BV717" s="586">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7" t="s">
        <v>2161</v>
      </c>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L718" s="41"/>
      <c r="AM718" s="43"/>
      <c r="BA718" s="41"/>
      <c r="BB718" s="41"/>
      <c r="BC718" s="41"/>
      <c r="BD718" s="41"/>
      <c r="BE718" s="41"/>
      <c r="BF718" s="41"/>
      <c r="BG718" s="869">
        <f t="shared" si="40"/>
        <v>8</v>
      </c>
      <c r="BH718" s="873">
        <f t="shared" si="41"/>
        <v>0.1095890410958904</v>
      </c>
      <c r="BI718" s="874">
        <f t="shared" si="42"/>
        <v>5.4794520547945202E-2</v>
      </c>
      <c r="BJ718" s="41"/>
      <c r="BK718" s="41"/>
      <c r="BL718" s="41"/>
      <c r="BM718" s="41"/>
      <c r="BN718" s="41"/>
      <c r="BO718" s="41"/>
      <c r="BP718" s="587" t="s">
        <v>845</v>
      </c>
      <c r="BQ718" s="586">
        <v>2722</v>
      </c>
      <c r="BR718" s="586">
        <v>2916</v>
      </c>
      <c r="BS718" s="586">
        <v>3500</v>
      </c>
      <c r="BT718" s="586">
        <v>4042</v>
      </c>
      <c r="BU718" s="586">
        <v>4510</v>
      </c>
      <c r="BV718" s="586">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7"/>
      <c r="D719" s="1477"/>
      <c r="E719" s="1477"/>
      <c r="F719" s="1477"/>
      <c r="G719" s="1477"/>
      <c r="H719" s="1477"/>
      <c r="I719" s="1477"/>
      <c r="J719" s="1477"/>
      <c r="K719" s="1477"/>
      <c r="L719" s="1477"/>
      <c r="M719" s="1477"/>
      <c r="N719" s="1477"/>
      <c r="O719" s="1477"/>
      <c r="P719" s="1477"/>
      <c r="Q719" s="1477"/>
      <c r="R719" s="1477"/>
      <c r="S719" s="1477"/>
      <c r="T719" s="1477"/>
      <c r="U719" s="1477"/>
      <c r="V719" s="1477"/>
      <c r="W719" s="1477"/>
      <c r="X719" s="1477"/>
      <c r="Y719" s="1477"/>
      <c r="Z719" s="1477"/>
      <c r="AA719" s="1477"/>
      <c r="AB719" s="1477"/>
      <c r="AC719" s="1477"/>
      <c r="AD719" s="1477"/>
      <c r="AE719" s="1477"/>
      <c r="AF719" s="1477"/>
      <c r="AG719" s="1477"/>
      <c r="AH719" s="1477"/>
      <c r="AL719" s="41"/>
      <c r="AM719" s="41"/>
      <c r="BA719" s="41"/>
      <c r="BB719" s="41"/>
      <c r="BC719" s="41"/>
      <c r="BD719" s="41"/>
      <c r="BE719" s="41"/>
      <c r="BF719" s="41"/>
      <c r="BG719" s="869">
        <f t="shared" si="40"/>
        <v>6</v>
      </c>
      <c r="BH719" s="873">
        <f t="shared" si="41"/>
        <v>8.2191780821917804E-2</v>
      </c>
      <c r="BI719" s="874">
        <f t="shared" si="42"/>
        <v>4.1095890410958902E-2</v>
      </c>
      <c r="BJ719" s="41"/>
      <c r="BK719" s="41"/>
      <c r="BL719" s="41"/>
      <c r="BM719" s="41"/>
      <c r="BN719" s="41"/>
      <c r="BO719" s="41"/>
      <c r="BP719" s="587" t="s">
        <v>846</v>
      </c>
      <c r="BQ719" s="586">
        <v>1390</v>
      </c>
      <c r="BR719" s="586">
        <v>1490</v>
      </c>
      <c r="BS719" s="586">
        <v>1786</v>
      </c>
      <c r="BT719" s="586">
        <v>2064</v>
      </c>
      <c r="BU719" s="586">
        <v>2304</v>
      </c>
      <c r="BV719" s="586">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0"/>
      <c r="E720" s="940"/>
      <c r="F720" s="940"/>
      <c r="G720" s="941"/>
      <c r="H720" s="941"/>
      <c r="I720" s="941"/>
      <c r="J720" s="941"/>
      <c r="K720" s="940"/>
      <c r="L720" s="940"/>
      <c r="M720" s="940"/>
      <c r="N720" s="940"/>
      <c r="O720" s="1519">
        <f>CQ615</f>
        <v>130</v>
      </c>
      <c r="P720" s="1519"/>
      <c r="Q720" s="1519"/>
      <c r="R720" s="1519"/>
      <c r="S720" s="942"/>
      <c r="T720" s="942"/>
      <c r="U720" s="270" t="s">
        <v>2163</v>
      </c>
      <c r="V720" s="940"/>
      <c r="W720" s="940"/>
      <c r="X720" s="940"/>
      <c r="Y720" s="941"/>
      <c r="Z720" s="941"/>
      <c r="AA720" s="941"/>
      <c r="AB720" s="941"/>
      <c r="AC720" s="940"/>
      <c r="AD720" s="940"/>
      <c r="AE720" s="940"/>
      <c r="AF720" s="940"/>
      <c r="AG720" s="1513"/>
      <c r="AH720" s="1513"/>
      <c r="AI720" s="1513"/>
      <c r="AJ720" s="1513"/>
      <c r="AK720" s="41"/>
      <c r="AL720" s="41"/>
      <c r="AM720" s="41"/>
      <c r="BA720" s="41"/>
      <c r="BB720" s="41"/>
      <c r="BC720" s="41"/>
      <c r="BD720" s="41"/>
      <c r="BE720" s="41"/>
      <c r="BF720" s="41"/>
      <c r="BG720" s="869">
        <f t="shared" si="40"/>
        <v>3</v>
      </c>
      <c r="BH720" s="873">
        <f t="shared" si="41"/>
        <v>4.1095890410958902E-2</v>
      </c>
      <c r="BI720" s="874">
        <f t="shared" si="42"/>
        <v>2.4657534246575342E-2</v>
      </c>
      <c r="BJ720" s="41"/>
      <c r="BK720" s="41"/>
      <c r="BL720" s="41"/>
      <c r="BM720" s="41"/>
      <c r="BN720" s="41"/>
      <c r="BO720" s="41"/>
      <c r="BP720" s="587" t="s">
        <v>847</v>
      </c>
      <c r="BQ720" s="586">
        <v>1574</v>
      </c>
      <c r="BR720" s="586">
        <v>1686</v>
      </c>
      <c r="BS720" s="586">
        <v>2024</v>
      </c>
      <c r="BT720" s="586">
        <v>2340</v>
      </c>
      <c r="BU720" s="586">
        <v>2610</v>
      </c>
      <c r="BV720" s="586">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4"/>
      <c r="C721" s="505"/>
      <c r="D721" s="505"/>
      <c r="E721" s="505"/>
      <c r="F721" s="505"/>
      <c r="G721" s="506"/>
      <c r="H721" s="506"/>
      <c r="I721" s="506"/>
      <c r="J721" s="506"/>
      <c r="K721" s="505"/>
      <c r="L721" s="505"/>
      <c r="M721" s="505"/>
      <c r="N721" s="505"/>
      <c r="O721" s="505"/>
      <c r="P721" s="401"/>
      <c r="Q721" s="401"/>
      <c r="R721" s="401"/>
      <c r="S721" s="401"/>
      <c r="T721" s="401"/>
      <c r="U721" s="365"/>
      <c r="V721" s="365"/>
      <c r="W721" s="365"/>
      <c r="X721" s="365"/>
      <c r="Y721" s="505"/>
      <c r="Z721" s="505"/>
      <c r="AA721" s="505"/>
      <c r="AB721" s="505"/>
      <c r="AC721" s="505"/>
      <c r="AD721" s="512"/>
      <c r="AE721" s="383"/>
      <c r="AF721" s="383"/>
      <c r="AG721" s="383"/>
      <c r="AH721" s="383"/>
      <c r="AL721" s="41"/>
      <c r="AM721" s="41"/>
      <c r="BA721" s="41"/>
      <c r="BB721" s="41"/>
      <c r="BC721" s="41"/>
      <c r="BD721" s="41"/>
      <c r="BE721" s="41"/>
      <c r="BF721" s="41"/>
      <c r="BG721" s="869">
        <f t="shared" si="40"/>
        <v>18</v>
      </c>
      <c r="BH721" s="873">
        <f t="shared" si="41"/>
        <v>0.24657534246575341</v>
      </c>
      <c r="BI721" s="874">
        <f t="shared" si="42"/>
        <v>0.14794520547945203</v>
      </c>
      <c r="BJ721" s="41"/>
      <c r="BK721" s="41"/>
      <c r="BL721" s="41"/>
      <c r="BM721" s="41"/>
      <c r="BN721" s="41"/>
      <c r="BO721" s="41"/>
      <c r="BP721" s="587" t="s">
        <v>848</v>
      </c>
      <c r="BQ721" s="586">
        <v>1364</v>
      </c>
      <c r="BR721" s="586">
        <v>1462</v>
      </c>
      <c r="BS721" s="586">
        <v>1754</v>
      </c>
      <c r="BT721" s="586">
        <v>2026</v>
      </c>
      <c r="BU721" s="586">
        <v>2260</v>
      </c>
      <c r="BV721" s="586">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3" t="s">
        <v>2160</v>
      </c>
      <c r="C722" s="505"/>
      <c r="D722" s="505"/>
      <c r="E722" s="505"/>
      <c r="F722" s="505"/>
      <c r="G722" s="506"/>
      <c r="H722" s="506"/>
      <c r="I722" s="506"/>
      <c r="J722" s="506"/>
      <c r="K722" s="505"/>
      <c r="L722" s="505"/>
      <c r="M722" s="505"/>
      <c r="N722" s="505"/>
      <c r="O722" s="505"/>
      <c r="P722" s="401"/>
      <c r="Q722" s="401"/>
      <c r="R722" s="401"/>
      <c r="S722" s="401"/>
      <c r="T722" s="401"/>
      <c r="U722" s="365"/>
      <c r="V722" s="365"/>
      <c r="W722" s="365"/>
      <c r="X722" s="365"/>
      <c r="Y722" s="505"/>
      <c r="Z722" s="1224" t="s">
        <v>132</v>
      </c>
      <c r="AA722" s="1224"/>
      <c r="AB722" s="1224"/>
      <c r="AF722" s="365"/>
      <c r="AG722" s="383"/>
      <c r="AH722" s="383"/>
      <c r="AL722" s="41"/>
      <c r="AM722" s="41"/>
      <c r="BA722" s="41"/>
      <c r="BB722" s="41"/>
      <c r="BC722" s="41"/>
      <c r="BD722" s="41"/>
      <c r="BE722" s="41"/>
      <c r="BF722" s="41"/>
      <c r="BG722" s="869">
        <f t="shared" si="40"/>
        <v>1</v>
      </c>
      <c r="BH722" s="873">
        <f t="shared" si="41"/>
        <v>1.3698630136986301E-2</v>
      </c>
      <c r="BI722" s="874">
        <f t="shared" si="42"/>
        <v>4.1060493433860744E-3</v>
      </c>
      <c r="BJ722" s="41"/>
      <c r="BK722" s="41"/>
      <c r="BL722" s="41"/>
      <c r="BM722" s="41"/>
      <c r="BN722" s="41"/>
      <c r="BO722" s="41"/>
      <c r="BP722" s="587" t="s">
        <v>849</v>
      </c>
      <c r="BQ722" s="586">
        <v>1902</v>
      </c>
      <c r="BR722" s="586">
        <v>2036</v>
      </c>
      <c r="BS722" s="586">
        <v>2444</v>
      </c>
      <c r="BT722" s="586">
        <v>2822</v>
      </c>
      <c r="BU722" s="586">
        <v>3150</v>
      </c>
      <c r="BV722" s="586">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2159</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69">
        <f t="shared" si="40"/>
        <v>1</v>
      </c>
      <c r="BH723" s="873">
        <f t="shared" si="41"/>
        <v>1.3698630136986301E-2</v>
      </c>
      <c r="BI723" s="874">
        <f t="shared" si="42"/>
        <v>6.1634986372163811E-3</v>
      </c>
      <c r="BJ723" s="41"/>
      <c r="BK723" s="41"/>
      <c r="BL723" s="41"/>
      <c r="BM723" s="41"/>
      <c r="BN723" s="41"/>
      <c r="BO723" s="41"/>
      <c r="BP723" s="587" t="s">
        <v>885</v>
      </c>
      <c r="BQ723" s="586">
        <v>2080</v>
      </c>
      <c r="BR723" s="586">
        <v>2228</v>
      </c>
      <c r="BS723" s="586">
        <v>2674</v>
      </c>
      <c r="BT723" s="586">
        <v>3090</v>
      </c>
      <c r="BU723" s="586">
        <v>3446</v>
      </c>
      <c r="BV723" s="586">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69">
        <f t="shared" si="40"/>
        <v>0</v>
      </c>
      <c r="BH724" s="873">
        <f t="shared" si="41"/>
        <v>0</v>
      </c>
      <c r="BI724" s="874" t="str">
        <f t="shared" si="42"/>
        <v xml:space="preserve"> </v>
      </c>
      <c r="BJ724" s="41"/>
      <c r="BK724" s="41"/>
      <c r="BL724" s="41"/>
      <c r="BM724" s="41"/>
      <c r="BN724" s="41"/>
      <c r="BO724" s="41"/>
      <c r="BP724" s="587" t="s">
        <v>850</v>
      </c>
      <c r="BQ724" s="586">
        <v>1394</v>
      </c>
      <c r="BR724" s="586">
        <v>1494</v>
      </c>
      <c r="BS724" s="586">
        <v>1794</v>
      </c>
      <c r="BT724" s="586">
        <v>2072</v>
      </c>
      <c r="BU724" s="586">
        <v>2312</v>
      </c>
      <c r="BV724" s="586">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c r="AD725" s="938"/>
      <c r="AE725" s="938"/>
      <c r="AF725" s="938"/>
      <c r="AG725" s="938"/>
      <c r="AH725" s="938"/>
      <c r="AI725" s="938"/>
      <c r="AJ725" s="938"/>
      <c r="AK725" s="938"/>
      <c r="AM725" s="41"/>
      <c r="BA725" s="41"/>
      <c r="BB725" s="41"/>
      <c r="BC725" s="41"/>
      <c r="BD725" s="41"/>
      <c r="BE725" s="41"/>
      <c r="BF725" s="41"/>
      <c r="BG725" s="869">
        <f t="shared" si="40"/>
        <v>0</v>
      </c>
      <c r="BH725" s="873">
        <f t="shared" si="41"/>
        <v>0</v>
      </c>
      <c r="BI725" s="874" t="str">
        <f t="shared" si="42"/>
        <v xml:space="preserve"> </v>
      </c>
      <c r="BJ725" s="41"/>
      <c r="BK725" s="41"/>
      <c r="BL725" s="41"/>
      <c r="BM725" s="41"/>
      <c r="BN725" s="41"/>
      <c r="BO725" s="41"/>
      <c r="BP725" s="587" t="s">
        <v>851</v>
      </c>
      <c r="BQ725" s="586">
        <v>1364</v>
      </c>
      <c r="BR725" s="586">
        <v>1462</v>
      </c>
      <c r="BS725" s="586">
        <v>1754</v>
      </c>
      <c r="BT725" s="586">
        <v>2026</v>
      </c>
      <c r="BU725" s="586">
        <v>2260</v>
      </c>
      <c r="BV725" s="586">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1587</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69">
        <f t="shared" si="40"/>
        <v>0</v>
      </c>
      <c r="BH726" s="873">
        <f t="shared" si="41"/>
        <v>0</v>
      </c>
      <c r="BI726" s="874" t="str">
        <f t="shared" si="42"/>
        <v xml:space="preserve"> </v>
      </c>
      <c r="BJ726" s="41"/>
      <c r="BK726" s="41"/>
      <c r="BL726" s="41"/>
      <c r="BM726" s="41"/>
      <c r="BN726" s="41"/>
      <c r="BO726" s="41"/>
      <c r="BP726" s="587" t="s">
        <v>852</v>
      </c>
      <c r="BQ726" s="586">
        <v>1364</v>
      </c>
      <c r="BR726" s="586">
        <v>1462</v>
      </c>
      <c r="BS726" s="586">
        <v>1754</v>
      </c>
      <c r="BT726" s="586">
        <v>2026</v>
      </c>
      <c r="BU726" s="586">
        <v>2260</v>
      </c>
      <c r="BV726" s="586">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69">
        <f t="shared" si="40"/>
        <v>0</v>
      </c>
      <c r="BH727" s="873">
        <f t="shared" si="41"/>
        <v>0</v>
      </c>
      <c r="BI727" s="874" t="str">
        <f t="shared" si="42"/>
        <v xml:space="preserve"> </v>
      </c>
      <c r="BJ727" s="41"/>
      <c r="BK727" s="41"/>
      <c r="BL727" s="41"/>
      <c r="BM727" s="41"/>
      <c r="BN727" s="41"/>
      <c r="BO727" s="41"/>
      <c r="BP727" s="587" t="s">
        <v>853</v>
      </c>
      <c r="BQ727" s="586">
        <v>1364</v>
      </c>
      <c r="BR727" s="586">
        <v>1462</v>
      </c>
      <c r="BS727" s="586">
        <v>1754</v>
      </c>
      <c r="BT727" s="586">
        <v>2026</v>
      </c>
      <c r="BU727" s="586">
        <v>2260</v>
      </c>
      <c r="BV727" s="586">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69">
        <f t="shared" si="40"/>
        <v>0</v>
      </c>
      <c r="BH728" s="873">
        <f t="shared" si="41"/>
        <v>0</v>
      </c>
      <c r="BI728" s="874" t="str">
        <f t="shared" si="42"/>
        <v xml:space="preserve"> </v>
      </c>
      <c r="BJ728" s="41"/>
      <c r="BK728" s="41"/>
      <c r="BL728" s="41"/>
      <c r="BM728" s="41"/>
      <c r="BN728" s="41"/>
      <c r="BO728" s="41"/>
      <c r="BP728" s="587" t="s">
        <v>854</v>
      </c>
      <c r="BQ728" s="586">
        <v>1364</v>
      </c>
      <c r="BR728" s="586">
        <v>1462</v>
      </c>
      <c r="BS728" s="586">
        <v>1754</v>
      </c>
      <c r="BT728" s="586">
        <v>2026</v>
      </c>
      <c r="BU728" s="586">
        <v>2260</v>
      </c>
      <c r="BV728" s="586">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69">
        <f t="shared" si="40"/>
        <v>0</v>
      </c>
      <c r="BH729" s="873">
        <f t="shared" si="41"/>
        <v>0</v>
      </c>
      <c r="BI729" s="874" t="str">
        <f t="shared" si="42"/>
        <v xml:space="preserve"> </v>
      </c>
      <c r="BJ729" s="41"/>
      <c r="BK729" s="41"/>
      <c r="BL729" s="41"/>
      <c r="BM729" s="41"/>
      <c r="BN729" s="41"/>
      <c r="BO729" s="41"/>
      <c r="BP729" s="587" t="s">
        <v>22</v>
      </c>
      <c r="BQ729" s="586">
        <v>1456</v>
      </c>
      <c r="BR729" s="586">
        <v>1560</v>
      </c>
      <c r="BS729" s="586">
        <v>1872</v>
      </c>
      <c r="BT729" s="586">
        <v>2162</v>
      </c>
      <c r="BU729" s="586">
        <v>2414</v>
      </c>
      <c r="BV729" s="586">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69">
        <f t="shared" si="40"/>
        <v>0</v>
      </c>
      <c r="BH730" s="873">
        <f t="shared" si="41"/>
        <v>0</v>
      </c>
      <c r="BI730" s="874" t="str">
        <f t="shared" si="42"/>
        <v xml:space="preserve"> </v>
      </c>
      <c r="BJ730" s="41"/>
      <c r="BK730" s="41"/>
      <c r="BL730" s="41"/>
      <c r="BM730" s="41"/>
      <c r="BN730" s="41"/>
      <c r="BO730" s="41"/>
      <c r="BP730" s="587" t="s">
        <v>855</v>
      </c>
      <c r="BQ730" s="586">
        <v>2194</v>
      </c>
      <c r="BR730" s="586">
        <v>2352</v>
      </c>
      <c r="BS730" s="586">
        <v>2822</v>
      </c>
      <c r="BT730" s="586">
        <v>3260</v>
      </c>
      <c r="BU730" s="586">
        <v>3636</v>
      </c>
      <c r="BV730" s="586">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2">
        <f t="shared" si="40"/>
        <v>0</v>
      </c>
      <c r="BH731" s="873">
        <f t="shared" si="41"/>
        <v>0</v>
      </c>
      <c r="BI731" s="874" t="str">
        <f t="shared" si="42"/>
        <v xml:space="preserve"> </v>
      </c>
      <c r="BJ731" s="41"/>
      <c r="BK731" s="41"/>
      <c r="BL731" s="41"/>
      <c r="BM731" s="41"/>
      <c r="BN731" s="41"/>
      <c r="BO731" s="41"/>
      <c r="BP731" s="587" t="s">
        <v>856</v>
      </c>
      <c r="BQ731" s="586">
        <v>1734</v>
      </c>
      <c r="BR731" s="586">
        <v>1858</v>
      </c>
      <c r="BS731" s="586">
        <v>2230</v>
      </c>
      <c r="BT731" s="586">
        <v>2576</v>
      </c>
      <c r="BU731" s="586">
        <v>2874</v>
      </c>
      <c r="BV731" s="586">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0">
        <f>SUM(BG707:BG731)</f>
        <v>73</v>
      </c>
      <c r="BH732" s="871">
        <f>SUM(BH707:BH731)</f>
        <v>1</v>
      </c>
      <c r="BI732" s="871">
        <f>SUM(BI707:BI731)</f>
        <v>0.49380129653663379</v>
      </c>
      <c r="BJ732" s="41"/>
      <c r="BK732" s="41"/>
      <c r="BL732" s="41"/>
      <c r="BM732" s="41"/>
      <c r="BN732" s="41"/>
      <c r="BO732" s="41"/>
      <c r="BP732" s="587" t="s">
        <v>857</v>
      </c>
      <c r="BQ732" s="586">
        <v>1364</v>
      </c>
      <c r="BR732" s="586">
        <v>1462</v>
      </c>
      <c r="BS732" s="586">
        <v>1754</v>
      </c>
      <c r="BT732" s="586">
        <v>2026</v>
      </c>
      <c r="BU732" s="586">
        <v>2260</v>
      </c>
      <c r="BV732" s="586">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2"/>
      <c r="BQ733" s="316"/>
      <c r="BR733" s="473"/>
      <c r="BS733" s="473"/>
      <c r="BT733" s="473"/>
      <c r="BU733" s="473"/>
      <c r="BV733" s="473"/>
      <c r="BW733" s="473"/>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76" t="s">
        <v>271</v>
      </c>
      <c r="P734" s="1476"/>
      <c r="Q734" s="1476"/>
      <c r="R734" s="1476"/>
      <c r="S734" s="1476"/>
      <c r="T734" s="1200" t="s">
        <v>2092</v>
      </c>
      <c r="U734" s="1201"/>
      <c r="V734" s="1201"/>
      <c r="W734" s="1202"/>
      <c r="X734" s="1209" t="s">
        <v>624</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76"/>
      <c r="P735" s="1476"/>
      <c r="Q735" s="1476"/>
      <c r="R735" s="1476"/>
      <c r="S735" s="1476"/>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76"/>
      <c r="P736" s="1476"/>
      <c r="Q736" s="1476"/>
      <c r="R736" s="1476"/>
      <c r="S736" s="1476"/>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39"/>
      <c r="BF736" s="939"/>
      <c r="BG736" s="939"/>
      <c r="BH736" s="939"/>
      <c r="BI736" s="939"/>
      <c r="BJ736" s="939"/>
      <c r="BK736" s="939"/>
      <c r="BL736" s="939"/>
      <c r="BM736" s="939"/>
      <c r="BN736" s="939"/>
      <c r="BO736" s="939"/>
      <c r="BP736" s="939"/>
      <c r="BQ736" s="939"/>
      <c r="BR736" s="939"/>
      <c r="BS736" s="939"/>
      <c r="BT736" s="939"/>
      <c r="BU736" s="939"/>
      <c r="BV736" s="939"/>
      <c r="BW736" s="939"/>
      <c r="BX736" s="939"/>
      <c r="BY736" s="939"/>
      <c r="BZ736" s="939"/>
      <c r="CA736" s="939"/>
      <c r="CB736" s="939"/>
      <c r="CC736" s="939"/>
      <c r="CD736" s="939"/>
      <c r="CE736" s="939"/>
      <c r="CF736" s="939"/>
      <c r="CG736" s="939"/>
      <c r="CH736" s="939"/>
      <c r="CI736" s="939"/>
      <c r="CJ736" s="939"/>
      <c r="CK736" s="939"/>
      <c r="CL736" s="41"/>
      <c r="CM736" s="41"/>
      <c r="CN736" s="41"/>
      <c r="CO736" s="41"/>
      <c r="CP736" s="41"/>
      <c r="CQ736" s="41"/>
      <c r="CR736" s="41"/>
      <c r="CS736" s="41"/>
    </row>
    <row r="737" spans="1:97" ht="12.95" customHeight="1">
      <c r="J737" s="1215"/>
      <c r="K737" s="1216"/>
      <c r="L737" s="1216"/>
      <c r="M737" s="1216"/>
      <c r="N737" s="1217"/>
      <c r="O737" s="1476"/>
      <c r="P737" s="1476"/>
      <c r="Q737" s="1476"/>
      <c r="R737" s="1476"/>
      <c r="S737" s="1476"/>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39"/>
      <c r="BF737" s="939"/>
      <c r="BG737" s="939"/>
      <c r="BH737" s="939"/>
      <c r="BI737" s="939"/>
      <c r="BJ737" s="939"/>
      <c r="BK737" s="939"/>
      <c r="BL737" s="939"/>
      <c r="BM737" s="939"/>
      <c r="BN737" s="939"/>
      <c r="BO737" s="939"/>
      <c r="BP737" s="939"/>
      <c r="BQ737" s="939"/>
      <c r="BR737" s="939"/>
      <c r="BS737" s="939"/>
      <c r="BT737" s="939"/>
      <c r="BU737" s="939"/>
      <c r="BV737" s="939"/>
      <c r="BW737" s="939"/>
      <c r="BX737" s="939"/>
      <c r="BY737" s="939"/>
      <c r="BZ737" s="939"/>
      <c r="CA737" s="939"/>
      <c r="CB737" s="939"/>
      <c r="CC737" s="939"/>
      <c r="CD737" s="939"/>
      <c r="CE737" s="939"/>
      <c r="CF737" s="939"/>
      <c r="CG737" s="939"/>
      <c r="CH737" s="939"/>
      <c r="CI737" s="939"/>
      <c r="CJ737" s="939"/>
      <c r="CK737" s="939"/>
      <c r="CL737" s="41"/>
      <c r="CM737" s="41"/>
      <c r="CN737" s="41"/>
      <c r="CO737" s="41"/>
      <c r="CP737" s="41"/>
      <c r="CQ737" s="41"/>
      <c r="CR737" s="41"/>
      <c r="CS737" s="41"/>
    </row>
    <row r="738" spans="1:97" ht="12.95" customHeight="1">
      <c r="J738" s="1286"/>
      <c r="K738" s="1287"/>
      <c r="L738" s="1287"/>
      <c r="M738" s="1287"/>
      <c r="N738" s="1288"/>
      <c r="O738" s="1373"/>
      <c r="P738" s="1373"/>
      <c r="Q738" s="1373"/>
      <c r="R738" s="1373"/>
      <c r="S738" s="1373"/>
      <c r="T738" s="1218"/>
      <c r="U738" s="1219"/>
      <c r="V738" s="1219"/>
      <c r="W738" s="1220"/>
      <c r="X738" s="1221"/>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6"/>
      <c r="K739" s="1287"/>
      <c r="L739" s="1287"/>
      <c r="M739" s="1287"/>
      <c r="N739" s="1288"/>
      <c r="O739" s="1373"/>
      <c r="P739" s="1373"/>
      <c r="Q739" s="1373"/>
      <c r="R739" s="1373"/>
      <c r="S739" s="1373"/>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6"/>
      <c r="K740" s="1287"/>
      <c r="L740" s="1287"/>
      <c r="M740" s="1287"/>
      <c r="N740" s="1288"/>
      <c r="O740" s="1373"/>
      <c r="P740" s="1373"/>
      <c r="Q740" s="1373"/>
      <c r="R740" s="1373"/>
      <c r="S740" s="1373"/>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6"/>
      <c r="K741" s="1287"/>
      <c r="L741" s="1287"/>
      <c r="M741" s="1287"/>
      <c r="N741" s="1288"/>
      <c r="O741" s="1373"/>
      <c r="P741" s="1373"/>
      <c r="Q741" s="1373"/>
      <c r="R741" s="1373"/>
      <c r="S741" s="1373"/>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917</v>
      </c>
      <c r="K742" s="1141"/>
      <c r="L742" s="1141"/>
      <c r="M742" s="1141"/>
      <c r="N742" s="1142"/>
      <c r="O742" s="1261">
        <f>SUM(O738:S741)</f>
        <v>0</v>
      </c>
      <c r="P742" s="1262"/>
      <c r="Q742" s="1262"/>
      <c r="R742" s="1262"/>
      <c r="S742" s="1263"/>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5" t="s">
        <v>511</v>
      </c>
      <c r="K744" s="1285"/>
      <c r="L744" s="62"/>
      <c r="M744" s="429"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9"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76" t="s">
        <v>271</v>
      </c>
      <c r="P748" s="1476"/>
      <c r="Q748" s="1476"/>
      <c r="R748" s="1476"/>
      <c r="S748" s="1476"/>
      <c r="T748" s="1200" t="s">
        <v>2092</v>
      </c>
      <c r="U748" s="1201"/>
      <c r="V748" s="1201"/>
      <c r="W748" s="1202"/>
      <c r="X748" s="1209" t="s">
        <v>624</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76"/>
      <c r="P749" s="1476"/>
      <c r="Q749" s="1476"/>
      <c r="R749" s="1476"/>
      <c r="S749" s="1476"/>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76"/>
      <c r="P750" s="1476"/>
      <c r="Q750" s="1476"/>
      <c r="R750" s="1476"/>
      <c r="S750" s="1476"/>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76"/>
      <c r="P751" s="1476"/>
      <c r="Q751" s="1476"/>
      <c r="R751" s="1476"/>
      <c r="S751" s="1476"/>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6"/>
      <c r="K752" s="1287"/>
      <c r="L752" s="1287"/>
      <c r="M752" s="1287"/>
      <c r="N752" s="1288"/>
      <c r="O752" s="1373"/>
      <c r="P752" s="1373"/>
      <c r="Q752" s="1373"/>
      <c r="R752" s="1373"/>
      <c r="S752" s="1373"/>
      <c r="T752" s="1218"/>
      <c r="U752" s="1219"/>
      <c r="V752" s="1219"/>
      <c r="W752" s="1220"/>
      <c r="X752" s="1221"/>
      <c r="Y752" s="1222"/>
      <c r="Z752" s="1222"/>
      <c r="AA752" s="1222"/>
      <c r="AB752" s="1223"/>
      <c r="AC752" s="1194">
        <f t="shared" ref="AC752:AC761" si="43">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6"/>
      <c r="K753" s="1287"/>
      <c r="L753" s="1287"/>
      <c r="M753" s="1287"/>
      <c r="N753" s="1288"/>
      <c r="O753" s="1373"/>
      <c r="P753" s="1373"/>
      <c r="Q753" s="1373"/>
      <c r="R753" s="1373"/>
      <c r="S753" s="1373"/>
      <c r="T753" s="1218"/>
      <c r="U753" s="1219"/>
      <c r="V753" s="1219"/>
      <c r="W753" s="1220"/>
      <c r="X753" s="1221"/>
      <c r="Y753" s="1222"/>
      <c r="Z753" s="1222"/>
      <c r="AA753" s="1222"/>
      <c r="AB753" s="1223"/>
      <c r="AC753" s="1194">
        <f t="shared" si="43"/>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6"/>
      <c r="K754" s="1287"/>
      <c r="L754" s="1287"/>
      <c r="M754" s="1287"/>
      <c r="N754" s="1288"/>
      <c r="O754" s="1373"/>
      <c r="P754" s="1373"/>
      <c r="Q754" s="1373"/>
      <c r="R754" s="1373"/>
      <c r="S754" s="1373"/>
      <c r="T754" s="1218"/>
      <c r="U754" s="1219"/>
      <c r="V754" s="1219"/>
      <c r="W754" s="1220"/>
      <c r="X754" s="1221"/>
      <c r="Y754" s="1222"/>
      <c r="Z754" s="1222"/>
      <c r="AA754" s="1222"/>
      <c r="AB754" s="1223"/>
      <c r="AC754" s="1194">
        <f t="shared" si="43"/>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6"/>
      <c r="K755" s="1287"/>
      <c r="L755" s="1287"/>
      <c r="M755" s="1287"/>
      <c r="N755" s="1288"/>
      <c r="O755" s="1373"/>
      <c r="P755" s="1373"/>
      <c r="Q755" s="1373"/>
      <c r="R755" s="1373"/>
      <c r="S755" s="1373"/>
      <c r="T755" s="1218"/>
      <c r="U755" s="1219"/>
      <c r="V755" s="1219"/>
      <c r="W755" s="1220"/>
      <c r="X755" s="1221"/>
      <c r="Y755" s="1222"/>
      <c r="Z755" s="1222"/>
      <c r="AA755" s="1222"/>
      <c r="AB755" s="1223"/>
      <c r="AC755" s="1194">
        <f t="shared" si="43"/>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6"/>
      <c r="K756" s="1287"/>
      <c r="L756" s="1287"/>
      <c r="M756" s="1287"/>
      <c r="N756" s="1288"/>
      <c r="O756" s="1373"/>
      <c r="P756" s="1373"/>
      <c r="Q756" s="1373"/>
      <c r="R756" s="1373"/>
      <c r="S756" s="1373"/>
      <c r="T756" s="1218"/>
      <c r="U756" s="1219"/>
      <c r="V756" s="1219"/>
      <c r="W756" s="1220"/>
      <c r="X756" s="1221"/>
      <c r="Y756" s="1222"/>
      <c r="Z756" s="1222"/>
      <c r="AA756" s="1222"/>
      <c r="AB756" s="1223"/>
      <c r="AC756" s="1194">
        <f t="shared" si="43"/>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6"/>
      <c r="K757" s="1287"/>
      <c r="L757" s="1287"/>
      <c r="M757" s="1287"/>
      <c r="N757" s="1288"/>
      <c r="O757" s="1373"/>
      <c r="P757" s="1373"/>
      <c r="Q757" s="1373"/>
      <c r="R757" s="1373"/>
      <c r="S757" s="1373"/>
      <c r="T757" s="1218"/>
      <c r="U757" s="1219"/>
      <c r="V757" s="1219"/>
      <c r="W757" s="1220"/>
      <c r="X757" s="1221"/>
      <c r="Y757" s="1222"/>
      <c r="Z757" s="1222"/>
      <c r="AA757" s="1222"/>
      <c r="AB757" s="1223"/>
      <c r="AC757" s="1194">
        <f t="shared" si="43"/>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6"/>
      <c r="K758" s="1287"/>
      <c r="L758" s="1287"/>
      <c r="M758" s="1287"/>
      <c r="N758" s="1288"/>
      <c r="O758" s="1373"/>
      <c r="P758" s="1373"/>
      <c r="Q758" s="1373"/>
      <c r="R758" s="1373"/>
      <c r="S758" s="1373"/>
      <c r="T758" s="1218"/>
      <c r="U758" s="1219"/>
      <c r="V758" s="1219"/>
      <c r="W758" s="1220"/>
      <c r="X758" s="1221"/>
      <c r="Y758" s="1222"/>
      <c r="Z758" s="1222"/>
      <c r="AA758" s="1222"/>
      <c r="AB758" s="1223"/>
      <c r="AC758" s="1194">
        <f t="shared" si="43"/>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6"/>
      <c r="K759" s="1287"/>
      <c r="L759" s="1287"/>
      <c r="M759" s="1287"/>
      <c r="N759" s="1288"/>
      <c r="O759" s="1373"/>
      <c r="P759" s="1373"/>
      <c r="Q759" s="1373"/>
      <c r="R759" s="1373"/>
      <c r="S759" s="1373"/>
      <c r="T759" s="1218"/>
      <c r="U759" s="1219"/>
      <c r="V759" s="1219"/>
      <c r="W759" s="1220"/>
      <c r="X759" s="1221"/>
      <c r="Y759" s="1222"/>
      <c r="Z759" s="1222"/>
      <c r="AA759" s="1222"/>
      <c r="AB759" s="1223"/>
      <c r="AC759" s="1194">
        <f t="shared" si="43"/>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6"/>
      <c r="K760" s="1287"/>
      <c r="L760" s="1287"/>
      <c r="M760" s="1287"/>
      <c r="N760" s="1288"/>
      <c r="O760" s="1373"/>
      <c r="P760" s="1373"/>
      <c r="Q760" s="1373"/>
      <c r="R760" s="1373"/>
      <c r="S760" s="1373"/>
      <c r="T760" s="1218"/>
      <c r="U760" s="1219"/>
      <c r="V760" s="1219"/>
      <c r="W760" s="1220"/>
      <c r="X760" s="1221"/>
      <c r="Y760" s="1222"/>
      <c r="Z760" s="1222"/>
      <c r="AA760" s="1222"/>
      <c r="AB760" s="1223"/>
      <c r="AC760" s="1194">
        <f t="shared" si="43"/>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6"/>
      <c r="K761" s="1287"/>
      <c r="L761" s="1287"/>
      <c r="M761" s="1287"/>
      <c r="N761" s="1288"/>
      <c r="O761" s="1373"/>
      <c r="P761" s="1373"/>
      <c r="Q761" s="1373"/>
      <c r="R761" s="1373"/>
      <c r="S761" s="1373"/>
      <c r="T761" s="1218"/>
      <c r="U761" s="1219"/>
      <c r="V761" s="1219"/>
      <c r="W761" s="1220"/>
      <c r="X761" s="1221"/>
      <c r="Y761" s="1222"/>
      <c r="Z761" s="1222"/>
      <c r="AA761" s="1222"/>
      <c r="AB761" s="1223"/>
      <c r="AC761" s="1194">
        <f t="shared" si="43"/>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917</v>
      </c>
      <c r="K762" s="1141"/>
      <c r="L762" s="1141"/>
      <c r="M762" s="1141"/>
      <c r="N762" s="1142"/>
      <c r="O762" s="1519">
        <f>SUM(O752:S761)</f>
        <v>0</v>
      </c>
      <c r="P762" s="1519"/>
      <c r="Q762" s="1519"/>
      <c r="R762" s="1519"/>
      <c r="S762" s="1519"/>
      <c r="X762" s="439" t="s">
        <v>916</v>
      </c>
      <c r="Y762" s="168"/>
      <c r="Z762" s="168"/>
      <c r="AA762" s="168"/>
      <c r="AB762" s="860"/>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5">
        <f>T717+AC742+AC762</f>
        <v>90090</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5">
        <f>(T717+AC742+AC762)*12</f>
        <v>1081080</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5">
        <v>73</v>
      </c>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7">
        <v>5</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4">
        <v>45504</v>
      </c>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40">
        <f>'Subsidy Contract Calculation'!I30</f>
        <v>373848</v>
      </c>
      <c r="AA773" s="1541"/>
      <c r="AB773" s="1541"/>
      <c r="AC773" s="1541"/>
      <c r="AD773" s="1541"/>
      <c r="AE773" s="154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6">
        <v>3800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33" t="s">
        <v>592</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7">
        <f>SUM(Z777:AE780)</f>
        <v>3800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7">
        <f>Z781+Y765+Z773</f>
        <v>1458728</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729</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827</v>
      </c>
      <c r="D793" s="1187"/>
      <c r="E793" s="1187"/>
      <c r="F793" s="1187"/>
      <c r="G793" s="1187"/>
      <c r="H793" s="1187"/>
      <c r="I793" s="66"/>
      <c r="J793" s="66"/>
      <c r="K793" s="66"/>
      <c r="L793" s="67"/>
      <c r="M793" s="1143">
        <v>21</v>
      </c>
      <c r="N793" s="1143"/>
      <c r="O793" s="1143"/>
      <c r="P793" s="1143"/>
      <c r="Q793" s="1143">
        <v>27</v>
      </c>
      <c r="R793" s="1143"/>
      <c r="S793" s="1143"/>
      <c r="T793" s="1143"/>
      <c r="U793" s="1143">
        <v>42</v>
      </c>
      <c r="V793" s="1143"/>
      <c r="W793" s="1143"/>
      <c r="X793" s="1143"/>
      <c r="Y793" s="1143">
        <v>72</v>
      </c>
      <c r="Z793" s="1143"/>
      <c r="AA793" s="1143"/>
      <c r="AB793" s="1143"/>
      <c r="AC793" s="1119">
        <v>0</v>
      </c>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33" t="s">
        <v>592</v>
      </c>
      <c r="G795" s="1126"/>
      <c r="H795" s="1126"/>
      <c r="I795" s="1126"/>
      <c r="J795" s="1126"/>
      <c r="K795" s="1126"/>
      <c r="L795" s="1126"/>
      <c r="M795" s="1143"/>
      <c r="N795" s="1143"/>
      <c r="O795" s="1143"/>
      <c r="P795" s="1143"/>
      <c r="Q795" s="1143"/>
      <c r="R795" s="1143"/>
      <c r="S795" s="1143"/>
      <c r="T795" s="1143"/>
      <c r="U795" s="1143"/>
      <c r="V795" s="1143"/>
      <c r="W795" s="1143"/>
      <c r="X795" s="1143"/>
      <c r="Y795" s="1143"/>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916</v>
      </c>
      <c r="D796" s="1141"/>
      <c r="E796" s="1141"/>
      <c r="F796" s="1141"/>
      <c r="G796" s="1141"/>
      <c r="H796" s="1141"/>
      <c r="I796" s="1141"/>
      <c r="J796" s="1141"/>
      <c r="K796" s="1141"/>
      <c r="L796" s="1142"/>
      <c r="M796" s="1128">
        <f>SUM(M789:P795)</f>
        <v>21</v>
      </c>
      <c r="N796" s="1128"/>
      <c r="O796" s="1128"/>
      <c r="P796" s="1128"/>
      <c r="Q796" s="1128">
        <f>SUM(Q789:T795)</f>
        <v>27</v>
      </c>
      <c r="R796" s="1128"/>
      <c r="S796" s="1128"/>
      <c r="T796" s="1128"/>
      <c r="U796" s="1128">
        <f>SUM(U789:X795)</f>
        <v>42</v>
      </c>
      <c r="V796" s="1128"/>
      <c r="W796" s="1128"/>
      <c r="X796" s="1128"/>
      <c r="Y796" s="1128">
        <f>SUM(Y789:AB795)</f>
        <v>72</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2515</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3" t="s">
        <v>393</v>
      </c>
      <c r="BB805" s="1524"/>
      <c r="BC805" s="41"/>
      <c r="BD805" s="41"/>
      <c r="BE805" s="41"/>
      <c r="BF805" s="21" t="s">
        <v>449</v>
      </c>
      <c r="BG805" s="21"/>
      <c r="BH805" s="21"/>
      <c r="BI805" s="21"/>
      <c r="BJ805" s="21"/>
      <c r="BK805" s="21"/>
      <c r="BL805" s="21"/>
      <c r="BM805" s="21"/>
      <c r="BN805" s="21"/>
      <c r="BO805" s="1520" t="str">
        <f>T189</f>
        <v>Los Angeles</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500</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10000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v>11000</v>
      </c>
      <c r="X809" s="1129"/>
      <c r="Y809" s="1129"/>
      <c r="Z809" s="1129"/>
      <c r="AA809" s="1129"/>
      <c r="AB809" s="1129"/>
      <c r="AC809" s="1129"/>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2450</v>
      </c>
      <c r="N810" s="1126"/>
      <c r="O810" s="1126"/>
      <c r="P810" s="1126"/>
      <c r="Q810" s="1126"/>
      <c r="R810" s="1126"/>
      <c r="S810" s="1126"/>
      <c r="T810" s="1126"/>
      <c r="U810" s="1126"/>
      <c r="V810" s="1127"/>
      <c r="W810" s="1129">
        <v>14375</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35875</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57000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156">
        <v>0</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v>6200</v>
      </c>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6">
        <v>6400</v>
      </c>
      <c r="X817" s="1156"/>
      <c r="Y817" s="1156"/>
      <c r="Z817" s="1156"/>
      <c r="AA817" s="1156"/>
      <c r="AB817" s="1156"/>
      <c r="AC817" s="115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57300</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69900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451</v>
      </c>
      <c r="BC819" s="556">
        <v>473390</v>
      </c>
      <c r="BD819" s="556">
        <v>545814</v>
      </c>
      <c r="BE819" s="556">
        <v>658400</v>
      </c>
      <c r="BF819" s="556">
        <v>842752</v>
      </c>
      <c r="BG819" s="556">
        <v>938878</v>
      </c>
      <c r="BH819" s="21"/>
      <c r="BI819" s="30" t="s">
        <v>451</v>
      </c>
      <c r="BJ819" s="556">
        <v>473390</v>
      </c>
      <c r="BK819" s="556">
        <v>545814</v>
      </c>
      <c r="BL819" s="556">
        <v>658400</v>
      </c>
      <c r="BM819" s="556">
        <v>842752</v>
      </c>
      <c r="BN819" s="556">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5">
        <v>352022</v>
      </c>
      <c r="BD820" s="555">
        <v>405878</v>
      </c>
      <c r="BE820" s="555">
        <v>489600</v>
      </c>
      <c r="BF820" s="555">
        <v>626688</v>
      </c>
      <c r="BG820" s="555">
        <v>698170</v>
      </c>
      <c r="BH820" s="21"/>
      <c r="BI820" s="30" t="s">
        <v>452</v>
      </c>
      <c r="BJ820" s="555">
        <v>352022</v>
      </c>
      <c r="BK820" s="555">
        <v>405878</v>
      </c>
      <c r="BL820" s="555">
        <v>489600</v>
      </c>
      <c r="BM820" s="555">
        <v>626688</v>
      </c>
      <c r="BN820" s="555">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54080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6">
        <v>352022</v>
      </c>
      <c r="BD821" s="556">
        <v>405878</v>
      </c>
      <c r="BE821" s="556">
        <v>489600</v>
      </c>
      <c r="BF821" s="556">
        <v>626688</v>
      </c>
      <c r="BG821" s="556">
        <v>698170</v>
      </c>
      <c r="BH821" s="21"/>
      <c r="BI821" s="30" t="s">
        <v>78</v>
      </c>
      <c r="BJ821" s="556">
        <v>352022</v>
      </c>
      <c r="BK821" s="556">
        <v>405878</v>
      </c>
      <c r="BL821" s="556">
        <v>489600</v>
      </c>
      <c r="BM821" s="556">
        <v>626688</v>
      </c>
      <c r="BN821" s="556">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6">
        <v>1</v>
      </c>
      <c r="U822" s="1177"/>
      <c r="V822" s="1178"/>
      <c r="W822" s="827"/>
      <c r="X822" s="828"/>
      <c r="Y822" s="828"/>
      <c r="Z822" s="828"/>
      <c r="AA822" s="828"/>
      <c r="AB822" s="828"/>
      <c r="AC822" s="829"/>
      <c r="AD822"/>
      <c r="AE822"/>
      <c r="AF822"/>
      <c r="AG822"/>
      <c r="AH822"/>
      <c r="AI822"/>
      <c r="AJ822"/>
      <c r="AK822"/>
      <c r="AL822"/>
      <c r="AR822" s="21"/>
      <c r="AS822" s="21"/>
      <c r="AT822" s="21"/>
      <c r="AU822" s="21"/>
      <c r="AV822" s="21"/>
      <c r="AW822" s="21"/>
      <c r="AX822" s="21"/>
      <c r="AY822" s="21"/>
      <c r="AZ822" s="21"/>
      <c r="BA822" s="21"/>
      <c r="BB822" s="30" t="s">
        <v>80</v>
      </c>
      <c r="BC822" s="555">
        <v>319236</v>
      </c>
      <c r="BD822" s="555">
        <v>368076</v>
      </c>
      <c r="BE822" s="555">
        <v>444000</v>
      </c>
      <c r="BF822" s="555">
        <v>568320</v>
      </c>
      <c r="BG822" s="555">
        <v>633144</v>
      </c>
      <c r="BH822" s="21"/>
      <c r="BI822" s="30" t="s">
        <v>80</v>
      </c>
      <c r="BJ822" s="555">
        <v>319236</v>
      </c>
      <c r="BK822" s="555">
        <v>368076</v>
      </c>
      <c r="BL822" s="555">
        <v>444000</v>
      </c>
      <c r="BM822" s="555">
        <v>568320</v>
      </c>
      <c r="BN822" s="555">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130">
        <v>52000</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6">
        <v>352022</v>
      </c>
      <c r="BD823" s="556">
        <v>405878</v>
      </c>
      <c r="BE823" s="556">
        <v>489600</v>
      </c>
      <c r="BF823" s="556">
        <v>626688</v>
      </c>
      <c r="BG823" s="556">
        <v>698170</v>
      </c>
      <c r="BH823" s="21"/>
      <c r="BI823" s="30" t="s">
        <v>81</v>
      </c>
      <c r="BJ823" s="556">
        <v>352022</v>
      </c>
      <c r="BK823" s="556">
        <v>405878</v>
      </c>
      <c r="BL823" s="556">
        <v>489600</v>
      </c>
      <c r="BM823" s="556">
        <v>626688</v>
      </c>
      <c r="BN823" s="556">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6">
        <v>1</v>
      </c>
      <c r="U824" s="1177"/>
      <c r="V824" s="1178"/>
      <c r="W824" s="827"/>
      <c r="X824" s="828"/>
      <c r="Y824" s="828"/>
      <c r="Z824" s="828"/>
      <c r="AA824" s="828"/>
      <c r="AB824" s="828"/>
      <c r="AC824" s="829"/>
      <c r="AD824"/>
      <c r="AE824"/>
      <c r="AF824"/>
      <c r="AG824"/>
      <c r="AH824"/>
      <c r="AI824"/>
      <c r="AJ824"/>
      <c r="AK824"/>
      <c r="AL824" s="23"/>
      <c r="AR824" s="21"/>
      <c r="AS824" s="21"/>
      <c r="AT824" s="21"/>
      <c r="AU824" s="21"/>
      <c r="AV824" s="21"/>
      <c r="AW824" s="21"/>
      <c r="AX824" s="21"/>
      <c r="AY824" s="21"/>
      <c r="AZ824" s="21"/>
      <c r="BA824" s="21"/>
      <c r="BB824" s="30" t="s">
        <v>82</v>
      </c>
      <c r="BC824" s="555">
        <v>352022</v>
      </c>
      <c r="BD824" s="555">
        <v>405878</v>
      </c>
      <c r="BE824" s="555">
        <v>489600</v>
      </c>
      <c r="BF824" s="555">
        <v>626688</v>
      </c>
      <c r="BG824" s="555">
        <v>698170</v>
      </c>
      <c r="BH824" s="21"/>
      <c r="BI824" s="30" t="s">
        <v>82</v>
      </c>
      <c r="BJ824" s="555">
        <v>352022</v>
      </c>
      <c r="BK824" s="555">
        <v>405878</v>
      </c>
      <c r="BL824" s="555">
        <v>489600</v>
      </c>
      <c r="BM824" s="555">
        <v>626688</v>
      </c>
      <c r="BN824" s="555">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5" t="s">
        <v>907</v>
      </c>
      <c r="N825" s="1126"/>
      <c r="O825" s="1126"/>
      <c r="P825" s="1126"/>
      <c r="Q825" s="1126"/>
      <c r="R825" s="1126"/>
      <c r="S825" s="1126"/>
      <c r="T825" s="1126"/>
      <c r="U825" s="1126"/>
      <c r="V825" s="1127"/>
      <c r="W825" s="1130">
        <v>9202</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6">
        <v>473390</v>
      </c>
      <c r="BD825" s="556">
        <v>545814</v>
      </c>
      <c r="BE825" s="556">
        <v>658400</v>
      </c>
      <c r="BF825" s="556">
        <v>842752</v>
      </c>
      <c r="BG825" s="556">
        <v>938878</v>
      </c>
      <c r="BH825" s="21"/>
      <c r="BI825" s="30" t="s">
        <v>505</v>
      </c>
      <c r="BJ825" s="556">
        <v>473390</v>
      </c>
      <c r="BK825" s="556">
        <v>545814</v>
      </c>
      <c r="BL825" s="556">
        <v>658400</v>
      </c>
      <c r="BM825" s="556">
        <v>842752</v>
      </c>
      <c r="BN825" s="556">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5">
        <f>SUM(W821:AC825)</f>
        <v>115282</v>
      </c>
      <c r="X826" s="1536"/>
      <c r="Y826" s="1536"/>
      <c r="Z826" s="1536"/>
      <c r="AA826" s="1536"/>
      <c r="AB826" s="1536"/>
      <c r="AC826" s="153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5">
        <v>352022</v>
      </c>
      <c r="BD826" s="555">
        <v>405878</v>
      </c>
      <c r="BE826" s="555">
        <v>489600</v>
      </c>
      <c r="BF826" s="555">
        <v>626688</v>
      </c>
      <c r="BG826" s="555">
        <v>698170</v>
      </c>
      <c r="BH826" s="21"/>
      <c r="BI826" s="30" t="s">
        <v>506</v>
      </c>
      <c r="BJ826" s="555">
        <v>352022</v>
      </c>
      <c r="BK826" s="555">
        <v>405878</v>
      </c>
      <c r="BL826" s="555">
        <v>489600</v>
      </c>
      <c r="BM826" s="555">
        <v>626688</v>
      </c>
      <c r="BN826" s="555">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51060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6">
        <v>331890</v>
      </c>
      <c r="BD827" s="556">
        <v>382666</v>
      </c>
      <c r="BE827" s="556">
        <v>461600</v>
      </c>
      <c r="BF827" s="556">
        <v>590848</v>
      </c>
      <c r="BG827" s="556">
        <v>658242</v>
      </c>
      <c r="BH827" s="21"/>
      <c r="BI827" s="30" t="s">
        <v>507</v>
      </c>
      <c r="BJ827" s="556">
        <v>331890</v>
      </c>
      <c r="BK827" s="556">
        <v>382666</v>
      </c>
      <c r="BL827" s="556">
        <v>461600</v>
      </c>
      <c r="BM827" s="556">
        <v>590848</v>
      </c>
      <c r="BN827" s="556">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5">
        <v>307732</v>
      </c>
      <c r="BD828" s="555">
        <v>354812</v>
      </c>
      <c r="BE828" s="555">
        <v>428000</v>
      </c>
      <c r="BF828" s="555">
        <v>547840</v>
      </c>
      <c r="BG828" s="555">
        <v>610328</v>
      </c>
      <c r="BH828" s="21"/>
      <c r="BI828" s="30" t="s">
        <v>509</v>
      </c>
      <c r="BJ828" s="555">
        <v>307732</v>
      </c>
      <c r="BK828" s="555">
        <v>354812</v>
      </c>
      <c r="BL828" s="555">
        <v>428000</v>
      </c>
      <c r="BM828" s="555">
        <v>547840</v>
      </c>
      <c r="BN828" s="555">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29">
        <v>8000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6">
        <v>352022</v>
      </c>
      <c r="BD829" s="556">
        <v>405878</v>
      </c>
      <c r="BE829" s="556">
        <v>489600</v>
      </c>
      <c r="BF829" s="556">
        <v>626688</v>
      </c>
      <c r="BG829" s="556">
        <v>698170</v>
      </c>
      <c r="BH829" s="21"/>
      <c r="BI829" s="30" t="s">
        <v>512</v>
      </c>
      <c r="BJ829" s="556">
        <v>352022</v>
      </c>
      <c r="BK829" s="556">
        <v>405878</v>
      </c>
      <c r="BL829" s="556">
        <v>489600</v>
      </c>
      <c r="BM829" s="556">
        <v>626688</v>
      </c>
      <c r="BN829" s="556">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29">
        <v>126500</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5">
        <v>352022</v>
      </c>
      <c r="BD830" s="555">
        <v>405878</v>
      </c>
      <c r="BE830" s="555">
        <v>489600</v>
      </c>
      <c r="BF830" s="555">
        <v>626688</v>
      </c>
      <c r="BG830" s="555">
        <v>698170</v>
      </c>
      <c r="BH830" s="21"/>
      <c r="BI830" s="30" t="s">
        <v>513</v>
      </c>
      <c r="BJ830" s="555">
        <v>352022</v>
      </c>
      <c r="BK830" s="555">
        <v>405878</v>
      </c>
      <c r="BL830" s="555">
        <v>489600</v>
      </c>
      <c r="BM830" s="555">
        <v>626688</v>
      </c>
      <c r="BN830" s="555">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29">
        <v>32800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6">
        <v>314634</v>
      </c>
      <c r="BD831" s="556">
        <v>362770</v>
      </c>
      <c r="BE831" s="556">
        <v>437600</v>
      </c>
      <c r="BF831" s="556">
        <v>560128</v>
      </c>
      <c r="BG831" s="556">
        <v>624018</v>
      </c>
      <c r="BH831" s="21"/>
      <c r="BI831" s="30" t="s">
        <v>515</v>
      </c>
      <c r="BJ831" s="556">
        <v>314634</v>
      </c>
      <c r="BK831" s="556">
        <v>362770</v>
      </c>
      <c r="BL831" s="556">
        <v>437600</v>
      </c>
      <c r="BM831" s="556">
        <v>560128</v>
      </c>
      <c r="BN831" s="556">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29">
        <v>12000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5">
        <v>352022</v>
      </c>
      <c r="BD832" s="555">
        <v>405878</v>
      </c>
      <c r="BE832" s="555">
        <v>489600</v>
      </c>
      <c r="BF832" s="555">
        <v>626688</v>
      </c>
      <c r="BG832" s="555">
        <v>698170</v>
      </c>
      <c r="BH832" s="21"/>
      <c r="BI832" s="30" t="s">
        <v>516</v>
      </c>
      <c r="BJ832" s="555">
        <v>352022</v>
      </c>
      <c r="BK832" s="555">
        <v>405878</v>
      </c>
      <c r="BL832" s="555">
        <v>489600</v>
      </c>
      <c r="BM832" s="555">
        <v>626688</v>
      </c>
      <c r="BN832" s="555">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29">
        <v>19800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6">
        <v>307732</v>
      </c>
      <c r="BD833" s="556">
        <v>354812</v>
      </c>
      <c r="BE833" s="556">
        <v>428000</v>
      </c>
      <c r="BF833" s="556">
        <v>547840</v>
      </c>
      <c r="BG833" s="556">
        <v>610328</v>
      </c>
      <c r="BH833" s="21"/>
      <c r="BI833" s="30" t="s">
        <v>517</v>
      </c>
      <c r="BJ833" s="556">
        <v>307732</v>
      </c>
      <c r="BK833" s="556">
        <v>354812</v>
      </c>
      <c r="BL833" s="556">
        <v>428000</v>
      </c>
      <c r="BM833" s="556">
        <v>547840</v>
      </c>
      <c r="BN833" s="556">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29">
        <v>0</v>
      </c>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5">
        <v>307732</v>
      </c>
      <c r="BD834" s="555">
        <v>354812</v>
      </c>
      <c r="BE834" s="555">
        <v>428000</v>
      </c>
      <c r="BF834" s="555">
        <v>547840</v>
      </c>
      <c r="BG834" s="555">
        <v>610328</v>
      </c>
      <c r="BH834" s="21"/>
      <c r="BI834" s="30" t="s">
        <v>519</v>
      </c>
      <c r="BJ834" s="555">
        <v>307732</v>
      </c>
      <c r="BK834" s="555">
        <v>354812</v>
      </c>
      <c r="BL834" s="555">
        <v>428000</v>
      </c>
      <c r="BM834" s="555">
        <v>547840</v>
      </c>
      <c r="BN834" s="555">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2521</v>
      </c>
      <c r="N835" s="1126"/>
      <c r="O835" s="1126"/>
      <c r="P835" s="1126"/>
      <c r="Q835" s="1126"/>
      <c r="R835" s="1126"/>
      <c r="S835" s="1126"/>
      <c r="T835" s="1126"/>
      <c r="U835" s="1126"/>
      <c r="V835" s="1127"/>
      <c r="W835" s="1129">
        <v>7200</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6">
        <v>352022</v>
      </c>
      <c r="BD835" s="556">
        <v>405878</v>
      </c>
      <c r="BE835" s="556">
        <v>489600</v>
      </c>
      <c r="BF835" s="556">
        <v>626688</v>
      </c>
      <c r="BG835" s="556">
        <v>698170</v>
      </c>
      <c r="BH835" s="21"/>
      <c r="BI835" s="30" t="s">
        <v>520</v>
      </c>
      <c r="BJ835" s="556">
        <v>352022</v>
      </c>
      <c r="BK835" s="556">
        <v>405878</v>
      </c>
      <c r="BL835" s="556">
        <v>489600</v>
      </c>
      <c r="BM835" s="556">
        <v>626688</v>
      </c>
      <c r="BN835" s="556">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206300</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5">
        <v>352022</v>
      </c>
      <c r="BD836" s="555">
        <v>405878</v>
      </c>
      <c r="BE836" s="555">
        <v>489600</v>
      </c>
      <c r="BF836" s="555">
        <v>626688</v>
      </c>
      <c r="BG836" s="555">
        <v>698170</v>
      </c>
      <c r="BH836" s="21"/>
      <c r="BI836" s="30" t="s">
        <v>629</v>
      </c>
      <c r="BJ836" s="555">
        <v>352022</v>
      </c>
      <c r="BK836" s="555">
        <v>405878</v>
      </c>
      <c r="BL836" s="555">
        <v>489600</v>
      </c>
      <c r="BM836" s="555">
        <v>626688</v>
      </c>
      <c r="BN836" s="555">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6">
        <v>437727</v>
      </c>
      <c r="BD837" s="556">
        <v>504695</v>
      </c>
      <c r="BE837" s="556">
        <v>608800</v>
      </c>
      <c r="BF837" s="556">
        <v>779264</v>
      </c>
      <c r="BG837" s="556">
        <v>868149</v>
      </c>
      <c r="BH837" s="21"/>
      <c r="BI837" s="30" t="s">
        <v>630</v>
      </c>
      <c r="BJ837" s="556">
        <v>437727</v>
      </c>
      <c r="BK837" s="556">
        <v>504695</v>
      </c>
      <c r="BL837" s="556">
        <v>608800</v>
      </c>
      <c r="BM837" s="556">
        <v>779264</v>
      </c>
      <c r="BN837" s="556">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33" t="s">
        <v>592</v>
      </c>
      <c r="N838" s="1126"/>
      <c r="O838" s="1126"/>
      <c r="P838" s="1126"/>
      <c r="Q838" s="1126"/>
      <c r="R838" s="1126"/>
      <c r="S838" s="1126"/>
      <c r="T838" s="1126"/>
      <c r="U838" s="1126"/>
      <c r="V838" s="1127"/>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55">
        <v>307732</v>
      </c>
      <c r="BD838" s="555">
        <v>354812</v>
      </c>
      <c r="BE838" s="555">
        <v>428000</v>
      </c>
      <c r="BF838" s="555">
        <v>547840</v>
      </c>
      <c r="BG838" s="555">
        <v>610328</v>
      </c>
      <c r="BH838" s="21"/>
      <c r="BI838" s="30" t="s">
        <v>632</v>
      </c>
      <c r="BJ838" s="555">
        <v>307732</v>
      </c>
      <c r="BK838" s="555">
        <v>354812</v>
      </c>
      <c r="BL838" s="555">
        <v>428000</v>
      </c>
      <c r="BM838" s="555">
        <v>547840</v>
      </c>
      <c r="BN838" s="555">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33" t="s">
        <v>592</v>
      </c>
      <c r="N839" s="1126"/>
      <c r="O839" s="1126"/>
      <c r="P839" s="1126"/>
      <c r="Q839" s="1126"/>
      <c r="R839" s="1126"/>
      <c r="S839" s="1126"/>
      <c r="T839" s="1126"/>
      <c r="U839" s="1126"/>
      <c r="V839" s="112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6">
        <v>384234</v>
      </c>
      <c r="BD839" s="556">
        <v>443018</v>
      </c>
      <c r="BE839" s="556">
        <v>534400</v>
      </c>
      <c r="BF839" s="556">
        <v>684032</v>
      </c>
      <c r="BG839" s="556">
        <v>762054</v>
      </c>
      <c r="BH839" s="21"/>
      <c r="BI839" s="30" t="s">
        <v>633</v>
      </c>
      <c r="BJ839" s="556">
        <v>384234</v>
      </c>
      <c r="BK839" s="556">
        <v>443018</v>
      </c>
      <c r="BL839" s="556">
        <v>534400</v>
      </c>
      <c r="BM839" s="556">
        <v>684032</v>
      </c>
      <c r="BN839" s="556">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3" t="s">
        <v>592</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5">
        <v>352022</v>
      </c>
      <c r="BD840" s="555">
        <v>405878</v>
      </c>
      <c r="BE840" s="555">
        <v>489600</v>
      </c>
      <c r="BF840" s="555">
        <v>626688</v>
      </c>
      <c r="BG840" s="555">
        <v>698170</v>
      </c>
      <c r="BH840" s="21"/>
      <c r="BI840" s="30" t="s">
        <v>634</v>
      </c>
      <c r="BJ840" s="555">
        <v>352022</v>
      </c>
      <c r="BK840" s="555">
        <v>405878</v>
      </c>
      <c r="BL840" s="555">
        <v>489600</v>
      </c>
      <c r="BM840" s="555">
        <v>626688</v>
      </c>
      <c r="BN840" s="555">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3" t="s">
        <v>592</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6">
        <v>352022</v>
      </c>
      <c r="BD841" s="556">
        <v>405878</v>
      </c>
      <c r="BE841" s="556">
        <v>489600</v>
      </c>
      <c r="BF841" s="556">
        <v>626688</v>
      </c>
      <c r="BG841" s="556">
        <v>698170</v>
      </c>
      <c r="BH841" s="21"/>
      <c r="BI841" s="30" t="s">
        <v>635</v>
      </c>
      <c r="BJ841" s="556">
        <v>352022</v>
      </c>
      <c r="BK841" s="556">
        <v>405878</v>
      </c>
      <c r="BL841" s="556">
        <v>489600</v>
      </c>
      <c r="BM841" s="556">
        <v>626688</v>
      </c>
      <c r="BN841" s="556">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3" t="s">
        <v>592</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5">
        <v>307732</v>
      </c>
      <c r="BD842" s="555">
        <v>354812</v>
      </c>
      <c r="BE842" s="555">
        <v>428000</v>
      </c>
      <c r="BF842" s="555">
        <v>547840</v>
      </c>
      <c r="BG842" s="555">
        <v>610328</v>
      </c>
      <c r="BH842" s="21"/>
      <c r="BI842" s="30" t="s">
        <v>637</v>
      </c>
      <c r="BJ842" s="555">
        <v>307732</v>
      </c>
      <c r="BK842" s="555">
        <v>354812</v>
      </c>
      <c r="BL842" s="555">
        <v>428000</v>
      </c>
      <c r="BM842" s="555">
        <v>547840</v>
      </c>
      <c r="BN842" s="555">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6">
        <v>352022</v>
      </c>
      <c r="BD843" s="556">
        <v>405878</v>
      </c>
      <c r="BE843" s="556">
        <v>489600</v>
      </c>
      <c r="BF843" s="556">
        <v>626688</v>
      </c>
      <c r="BG843" s="556">
        <v>698170</v>
      </c>
      <c r="BH843" s="21"/>
      <c r="BI843" s="30" t="s">
        <v>638</v>
      </c>
      <c r="BJ843" s="556">
        <v>352022</v>
      </c>
      <c r="BK843" s="556">
        <v>405878</v>
      </c>
      <c r="BL843" s="556">
        <v>489600</v>
      </c>
      <c r="BM843" s="556">
        <v>626688</v>
      </c>
      <c r="BN843" s="556">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5">
        <v>352022</v>
      </c>
      <c r="BD844" s="555">
        <v>405878</v>
      </c>
      <c r="BE844" s="555">
        <v>489600</v>
      </c>
      <c r="BF844" s="555">
        <v>626688</v>
      </c>
      <c r="BG844" s="555">
        <v>698170</v>
      </c>
      <c r="BH844" s="21"/>
      <c r="BI844" s="30" t="s">
        <v>639</v>
      </c>
      <c r="BJ844" s="555">
        <v>352022</v>
      </c>
      <c r="BK844" s="555">
        <v>405878</v>
      </c>
      <c r="BL844" s="555">
        <v>489600</v>
      </c>
      <c r="BM844" s="555">
        <v>626688</v>
      </c>
      <c r="BN844" s="555">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6">
        <v>387110</v>
      </c>
      <c r="BD845" s="556">
        <v>446334</v>
      </c>
      <c r="BE845" s="556">
        <v>538400</v>
      </c>
      <c r="BF845" s="556">
        <v>689152</v>
      </c>
      <c r="BG845" s="556">
        <v>767758</v>
      </c>
      <c r="BH845" s="21"/>
      <c r="BI845" s="30" t="s">
        <v>602</v>
      </c>
      <c r="BJ845" s="556">
        <v>387110</v>
      </c>
      <c r="BK845" s="556">
        <v>446334</v>
      </c>
      <c r="BL845" s="556">
        <v>538400</v>
      </c>
      <c r="BM845" s="556">
        <v>689152</v>
      </c>
      <c r="BN845" s="556">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5">
        <v>384234</v>
      </c>
      <c r="BD846" s="555">
        <v>443018</v>
      </c>
      <c r="BE846" s="555">
        <v>534400</v>
      </c>
      <c r="BF846" s="555">
        <v>684032</v>
      </c>
      <c r="BG846" s="555">
        <v>762054</v>
      </c>
      <c r="BH846" s="21"/>
      <c r="BI846" s="30" t="s">
        <v>604</v>
      </c>
      <c r="BJ846" s="555">
        <v>384234</v>
      </c>
      <c r="BK846" s="555">
        <v>443018</v>
      </c>
      <c r="BL846" s="555">
        <v>534400</v>
      </c>
      <c r="BM846" s="555">
        <v>684032</v>
      </c>
      <c r="BN846" s="555">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535417</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6">
        <v>352022</v>
      </c>
      <c r="BD847" s="556">
        <v>405878</v>
      </c>
      <c r="BE847" s="556">
        <v>489600</v>
      </c>
      <c r="BF847" s="556">
        <v>626688</v>
      </c>
      <c r="BG847" s="556">
        <v>698170</v>
      </c>
      <c r="BH847" s="21"/>
      <c r="BI847" s="30" t="s">
        <v>605</v>
      </c>
      <c r="BJ847" s="556">
        <v>352022</v>
      </c>
      <c r="BK847" s="556">
        <v>405878</v>
      </c>
      <c r="BL847" s="556">
        <v>489600</v>
      </c>
      <c r="BM847" s="556">
        <v>626688</v>
      </c>
      <c r="BN847" s="556">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73</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5">
        <v>396888</v>
      </c>
      <c r="BD848" s="555">
        <v>457608</v>
      </c>
      <c r="BE848" s="555">
        <v>552000</v>
      </c>
      <c r="BF848" s="555">
        <v>706560</v>
      </c>
      <c r="BG848" s="555">
        <v>787152</v>
      </c>
      <c r="BH848" s="21"/>
      <c r="BI848" s="30" t="s">
        <v>606</v>
      </c>
      <c r="BJ848" s="555">
        <v>396888</v>
      </c>
      <c r="BK848" s="555">
        <v>457608</v>
      </c>
      <c r="BL848" s="555">
        <v>552000</v>
      </c>
      <c r="BM848" s="555">
        <v>706560</v>
      </c>
      <c r="BN848" s="555">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3">
        <f>IF(ISERROR((ROUNDDOWN(AC847/AC848,0))),0,(ROUNDDOWN(AC847/AC848,0)))</f>
        <v>7334</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607</v>
      </c>
      <c r="BC849" s="556">
        <v>331890</v>
      </c>
      <c r="BD849" s="556">
        <v>382666</v>
      </c>
      <c r="BE849" s="556">
        <v>461600</v>
      </c>
      <c r="BF849" s="556">
        <v>590848</v>
      </c>
      <c r="BG849" s="556">
        <v>658242</v>
      </c>
      <c r="BH849" s="21"/>
      <c r="BI849" s="30" t="s">
        <v>607</v>
      </c>
      <c r="BJ849" s="556">
        <v>331890</v>
      </c>
      <c r="BK849" s="556">
        <v>382666</v>
      </c>
      <c r="BL849" s="556">
        <v>461600</v>
      </c>
      <c r="BM849" s="556">
        <v>590848</v>
      </c>
      <c r="BN849" s="556">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2" t="s">
        <v>675</v>
      </c>
      <c r="AC850" s="1135">
        <f>ROUNDUP(((AC847+SUM(AC851:AH858,'15 Year Pro Forma'!E43))/4),0)</f>
        <v>324605</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5">
        <v>352022</v>
      </c>
      <c r="BD850" s="555">
        <v>405878</v>
      </c>
      <c r="BE850" s="555">
        <v>489600</v>
      </c>
      <c r="BF850" s="555">
        <v>626688</v>
      </c>
      <c r="BG850" s="555">
        <v>698170</v>
      </c>
      <c r="BH850" s="21"/>
      <c r="BI850" s="30" t="s">
        <v>609</v>
      </c>
      <c r="BJ850" s="555">
        <v>352022</v>
      </c>
      <c r="BK850" s="555">
        <v>405878</v>
      </c>
      <c r="BL850" s="555">
        <v>489600</v>
      </c>
      <c r="BM850" s="555">
        <v>626688</v>
      </c>
      <c r="BN850" s="555">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8">
        <v>0</v>
      </c>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610</v>
      </c>
      <c r="BC851" s="556">
        <v>314634</v>
      </c>
      <c r="BD851" s="556">
        <v>362770</v>
      </c>
      <c r="BE851" s="556">
        <v>437600</v>
      </c>
      <c r="BF851" s="556">
        <v>560128</v>
      </c>
      <c r="BG851" s="556">
        <v>624018</v>
      </c>
      <c r="BH851" s="21"/>
      <c r="BI851" s="30" t="s">
        <v>610</v>
      </c>
      <c r="BJ851" s="556">
        <v>314634</v>
      </c>
      <c r="BK851" s="556">
        <v>362770</v>
      </c>
      <c r="BL851" s="556">
        <v>437600</v>
      </c>
      <c r="BM851" s="556">
        <v>560128</v>
      </c>
      <c r="BN851" s="556">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5">
        <v>331890</v>
      </c>
      <c r="BD852" s="555">
        <v>382666</v>
      </c>
      <c r="BE852" s="555">
        <v>461600</v>
      </c>
      <c r="BF852" s="555">
        <v>590848</v>
      </c>
      <c r="BG852" s="555">
        <v>658242</v>
      </c>
      <c r="BH852" s="21"/>
      <c r="BI852" s="30" t="s">
        <v>450</v>
      </c>
      <c r="BJ852" s="555">
        <v>331890</v>
      </c>
      <c r="BK852" s="555">
        <v>382666</v>
      </c>
      <c r="BL852" s="555">
        <v>461600</v>
      </c>
      <c r="BM852" s="555">
        <v>590848</v>
      </c>
      <c r="BN852" s="555">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v>21900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6">
        <v>352022</v>
      </c>
      <c r="BD853" s="556">
        <v>405878</v>
      </c>
      <c r="BE853" s="556">
        <v>489600</v>
      </c>
      <c r="BF853" s="556">
        <v>626688</v>
      </c>
      <c r="BG853" s="556">
        <v>698170</v>
      </c>
      <c r="BH853" s="21"/>
      <c r="BI853" s="30" t="s">
        <v>612</v>
      </c>
      <c r="BJ853" s="556">
        <v>352022</v>
      </c>
      <c r="BK853" s="556">
        <v>405878</v>
      </c>
      <c r="BL853" s="556">
        <v>489600</v>
      </c>
      <c r="BM853" s="556">
        <v>626688</v>
      </c>
      <c r="BN853" s="556">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6"/>
      <c r="AD854" s="1167"/>
      <c r="AE854" s="1167"/>
      <c r="AF854" s="1167"/>
      <c r="AG854" s="1167"/>
      <c r="AH854" s="1168"/>
      <c r="AI854"/>
      <c r="AJ854"/>
      <c r="AK854"/>
      <c r="AL854"/>
      <c r="AM854" s="38"/>
      <c r="AN854" s="38"/>
      <c r="BB854" s="30" t="s">
        <v>613</v>
      </c>
      <c r="BC854" s="555">
        <v>314634</v>
      </c>
      <c r="BD854" s="555">
        <v>362770</v>
      </c>
      <c r="BE854" s="555">
        <v>437600</v>
      </c>
      <c r="BF854" s="555">
        <v>560128</v>
      </c>
      <c r="BG854" s="555">
        <v>624018</v>
      </c>
      <c r="BI854" s="30" t="s">
        <v>613</v>
      </c>
      <c r="BJ854" s="555">
        <v>314634</v>
      </c>
      <c r="BK854" s="555">
        <v>362770</v>
      </c>
      <c r="BL854" s="555">
        <v>437600</v>
      </c>
      <c r="BM854" s="555">
        <v>560128</v>
      </c>
      <c r="BN854" s="555">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v>11687</v>
      </c>
      <c r="AD855" s="1167"/>
      <c r="AE855" s="1167"/>
      <c r="AF855" s="1167"/>
      <c r="AG855" s="1167"/>
      <c r="AH855" s="1168"/>
      <c r="AI855"/>
      <c r="AJ855"/>
      <c r="AK855"/>
      <c r="AL855"/>
      <c r="AM855" s="38"/>
      <c r="AN855" s="38"/>
      <c r="BB855" s="30" t="s">
        <v>614</v>
      </c>
      <c r="BC855" s="556">
        <v>353173</v>
      </c>
      <c r="BD855" s="556">
        <v>407205</v>
      </c>
      <c r="BE855" s="556">
        <v>491200</v>
      </c>
      <c r="BF855" s="556">
        <v>628736</v>
      </c>
      <c r="BG855" s="556">
        <v>700451</v>
      </c>
      <c r="BI855" s="30" t="s">
        <v>614</v>
      </c>
      <c r="BJ855" s="556">
        <v>353173</v>
      </c>
      <c r="BK855" s="556">
        <v>407205</v>
      </c>
      <c r="BL855" s="556">
        <v>491200</v>
      </c>
      <c r="BM855" s="556">
        <v>628736</v>
      </c>
      <c r="BN855" s="556">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2"/>
      <c r="AD856" s="1129"/>
      <c r="AE856" s="1129"/>
      <c r="AF856" s="1129"/>
      <c r="AG856" s="1129"/>
      <c r="AH856" s="1129"/>
      <c r="AI856"/>
      <c r="AJ856"/>
      <c r="AK856"/>
      <c r="AL856"/>
      <c r="AM856" s="38"/>
      <c r="AN856" s="38"/>
      <c r="BB856" s="30" t="s">
        <v>789</v>
      </c>
      <c r="BC856" s="555">
        <v>689665</v>
      </c>
      <c r="BD856" s="555">
        <v>795177</v>
      </c>
      <c r="BE856" s="555">
        <v>959200</v>
      </c>
      <c r="BF856" s="555">
        <v>1227776</v>
      </c>
      <c r="BG856" s="555">
        <v>1367819</v>
      </c>
      <c r="BI856" s="30" t="s">
        <v>789</v>
      </c>
      <c r="BJ856" s="555">
        <v>689665</v>
      </c>
      <c r="BK856" s="555">
        <v>795177</v>
      </c>
      <c r="BL856" s="555">
        <v>959200</v>
      </c>
      <c r="BM856" s="555">
        <v>1227776</v>
      </c>
      <c r="BN856" s="555">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790</v>
      </c>
      <c r="BC857" s="556">
        <v>307732</v>
      </c>
      <c r="BD857" s="556">
        <v>354812</v>
      </c>
      <c r="BE857" s="556">
        <v>428000</v>
      </c>
      <c r="BF857" s="556">
        <v>547840</v>
      </c>
      <c r="BG857" s="556">
        <v>610328</v>
      </c>
      <c r="BI857" s="30" t="s">
        <v>790</v>
      </c>
      <c r="BJ857" s="556">
        <v>307732</v>
      </c>
      <c r="BK857" s="556">
        <v>354812</v>
      </c>
      <c r="BL857" s="556">
        <v>428000</v>
      </c>
      <c r="BM857" s="556">
        <v>547840</v>
      </c>
      <c r="BN857" s="556">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791</v>
      </c>
      <c r="BC858" s="555">
        <v>387110</v>
      </c>
      <c r="BD858" s="555">
        <v>446334</v>
      </c>
      <c r="BE858" s="555">
        <v>538400</v>
      </c>
      <c r="BF858" s="555">
        <v>689152</v>
      </c>
      <c r="BG858" s="555">
        <v>767758</v>
      </c>
      <c r="BI858" s="30" t="s">
        <v>791</v>
      </c>
      <c r="BJ858" s="555">
        <v>387110</v>
      </c>
      <c r="BK858" s="555">
        <v>446334</v>
      </c>
      <c r="BL858" s="555">
        <v>538400</v>
      </c>
      <c r="BM858" s="555">
        <v>689152</v>
      </c>
      <c r="BN858" s="555">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4">
        <v>532060</v>
      </c>
      <c r="BD859" s="554">
        <v>613460</v>
      </c>
      <c r="BE859" s="556">
        <v>740000</v>
      </c>
      <c r="BF859" s="554">
        <v>947200</v>
      </c>
      <c r="BG859" s="554">
        <v>1055240</v>
      </c>
      <c r="BI859" s="30" t="s">
        <v>792</v>
      </c>
      <c r="BJ859" s="554">
        <v>532060</v>
      </c>
      <c r="BK859" s="554">
        <v>613460</v>
      </c>
      <c r="BL859" s="554">
        <v>740000</v>
      </c>
      <c r="BM859" s="554">
        <v>947200</v>
      </c>
      <c r="BN859" s="554">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502"/>
      <c r="AQ860" s="1502"/>
      <c r="AR860" s="1502"/>
      <c r="AS860" s="1502"/>
      <c r="BB860" s="30" t="s">
        <v>793</v>
      </c>
      <c r="BC860" s="555">
        <v>387110</v>
      </c>
      <c r="BD860" s="555">
        <v>446334</v>
      </c>
      <c r="BE860" s="555">
        <v>538400</v>
      </c>
      <c r="BF860" s="555">
        <v>689152</v>
      </c>
      <c r="BG860" s="555">
        <v>767758</v>
      </c>
      <c r="BI860" s="30" t="s">
        <v>793</v>
      </c>
      <c r="BJ860" s="555">
        <v>387110</v>
      </c>
      <c r="BK860" s="555">
        <v>446334</v>
      </c>
      <c r="BL860" s="555">
        <v>538400</v>
      </c>
      <c r="BM860" s="555">
        <v>689152</v>
      </c>
      <c r="BN860" s="555">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794</v>
      </c>
      <c r="BC861" s="554">
        <v>532060</v>
      </c>
      <c r="BD861" s="554">
        <v>613460</v>
      </c>
      <c r="BE861" s="554">
        <v>740000</v>
      </c>
      <c r="BF861" s="554">
        <v>947200</v>
      </c>
      <c r="BG861" s="554">
        <v>1055240</v>
      </c>
      <c r="BI861" s="30" t="s">
        <v>794</v>
      </c>
      <c r="BJ861" s="554">
        <v>532060</v>
      </c>
      <c r="BK861" s="554">
        <v>613460</v>
      </c>
      <c r="BL861" s="554">
        <v>740000</v>
      </c>
      <c r="BM861" s="554">
        <v>947200</v>
      </c>
      <c r="BN861" s="554">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55">
        <v>387110</v>
      </c>
      <c r="BD862" s="555">
        <v>446334</v>
      </c>
      <c r="BE862" s="555">
        <v>538400</v>
      </c>
      <c r="BF862" s="555">
        <v>689152</v>
      </c>
      <c r="BG862" s="555">
        <v>767758</v>
      </c>
      <c r="BI862" s="30" t="s">
        <v>693</v>
      </c>
      <c r="BJ862" s="555">
        <v>387110</v>
      </c>
      <c r="BK862" s="555">
        <v>446334</v>
      </c>
      <c r="BL862" s="555">
        <v>538400</v>
      </c>
      <c r="BM862" s="555">
        <v>689152</v>
      </c>
      <c r="BN862" s="555">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6">
        <v>319236</v>
      </c>
      <c r="BD863" s="556">
        <v>368076</v>
      </c>
      <c r="BE863" s="556">
        <v>444000</v>
      </c>
      <c r="BF863" s="556">
        <v>568320</v>
      </c>
      <c r="BG863" s="556">
        <v>633144</v>
      </c>
      <c r="BI863" s="30" t="s">
        <v>694</v>
      </c>
      <c r="BJ863" s="556">
        <v>319236</v>
      </c>
      <c r="BK863" s="556">
        <v>368076</v>
      </c>
      <c r="BL863" s="556">
        <v>444000</v>
      </c>
      <c r="BM863" s="556">
        <v>568320</v>
      </c>
      <c r="BN863" s="556">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55">
        <v>352022</v>
      </c>
      <c r="BD864" s="555">
        <v>405878</v>
      </c>
      <c r="BE864" s="555">
        <v>489600</v>
      </c>
      <c r="BF864" s="555">
        <v>626688</v>
      </c>
      <c r="BG864" s="555">
        <v>698170</v>
      </c>
      <c r="BI864" s="30" t="s">
        <v>695</v>
      </c>
      <c r="BJ864" s="555">
        <v>352022</v>
      </c>
      <c r="BK864" s="555">
        <v>405878</v>
      </c>
      <c r="BL864" s="555">
        <v>489600</v>
      </c>
      <c r="BM864" s="555">
        <v>626688</v>
      </c>
      <c r="BN864" s="555">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6">
        <v>352022</v>
      </c>
      <c r="BD865" s="556">
        <v>405878</v>
      </c>
      <c r="BE865" s="556">
        <v>489600</v>
      </c>
      <c r="BF865" s="556">
        <v>626688</v>
      </c>
      <c r="BG865" s="556">
        <v>698170</v>
      </c>
      <c r="BI865" s="30" t="s">
        <v>696</v>
      </c>
      <c r="BJ865" s="556">
        <v>352022</v>
      </c>
      <c r="BK865" s="556">
        <v>405878</v>
      </c>
      <c r="BL865" s="556">
        <v>489600</v>
      </c>
      <c r="BM865" s="556">
        <v>626688</v>
      </c>
      <c r="BN865" s="556">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5">
        <v>384234</v>
      </c>
      <c r="BD866" s="555">
        <v>443018</v>
      </c>
      <c r="BE866" s="555">
        <v>534400</v>
      </c>
      <c r="BF866" s="555">
        <v>684032</v>
      </c>
      <c r="BG866" s="555">
        <v>762054</v>
      </c>
      <c r="BI866" s="30" t="s">
        <v>697</v>
      </c>
      <c r="BJ866" s="555">
        <v>384234</v>
      </c>
      <c r="BK866" s="555">
        <v>443018</v>
      </c>
      <c r="BL866" s="555">
        <v>534400</v>
      </c>
      <c r="BM866" s="555">
        <v>684032</v>
      </c>
      <c r="BN866" s="555">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6">
        <v>384234</v>
      </c>
      <c r="BD867" s="556">
        <v>443018</v>
      </c>
      <c r="BE867" s="556">
        <v>534400</v>
      </c>
      <c r="BF867" s="556">
        <v>684032</v>
      </c>
      <c r="BG867" s="556">
        <v>762054</v>
      </c>
      <c r="BI867" s="30" t="s">
        <v>940</v>
      </c>
      <c r="BJ867" s="556">
        <v>384234</v>
      </c>
      <c r="BK867" s="556">
        <v>443018</v>
      </c>
      <c r="BL867" s="556">
        <v>534400</v>
      </c>
      <c r="BM867" s="556">
        <v>684032</v>
      </c>
      <c r="BN867" s="556">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5">
        <v>307732</v>
      </c>
      <c r="BD868" s="555">
        <v>354812</v>
      </c>
      <c r="BE868" s="555">
        <v>428000</v>
      </c>
      <c r="BF868" s="555">
        <v>547840</v>
      </c>
      <c r="BG868" s="555">
        <v>610328</v>
      </c>
      <c r="BI868" s="30" t="s">
        <v>941</v>
      </c>
      <c r="BJ868" s="555">
        <v>307732</v>
      </c>
      <c r="BK868" s="555">
        <v>354812</v>
      </c>
      <c r="BL868" s="555">
        <v>428000</v>
      </c>
      <c r="BM868" s="555">
        <v>547840</v>
      </c>
      <c r="BN868" s="555">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6">
        <v>331890</v>
      </c>
      <c r="BD869" s="556">
        <v>382666</v>
      </c>
      <c r="BE869" s="556">
        <v>461600</v>
      </c>
      <c r="BF869" s="556">
        <v>590848</v>
      </c>
      <c r="BG869" s="556">
        <v>658242</v>
      </c>
      <c r="BI869" s="30" t="s">
        <v>1</v>
      </c>
      <c r="BJ869" s="556">
        <v>331890</v>
      </c>
      <c r="BK869" s="556">
        <v>382666</v>
      </c>
      <c r="BL869" s="556">
        <v>461600</v>
      </c>
      <c r="BM869" s="556">
        <v>590848</v>
      </c>
      <c r="BN869" s="556">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5">
        <v>352022</v>
      </c>
      <c r="BD870" s="555">
        <v>405878</v>
      </c>
      <c r="BE870" s="555">
        <v>489600</v>
      </c>
      <c r="BF870" s="555">
        <v>626688</v>
      </c>
      <c r="BG870" s="555">
        <v>698170</v>
      </c>
      <c r="BI870" s="30" t="s">
        <v>2</v>
      </c>
      <c r="BJ870" s="555">
        <v>352022</v>
      </c>
      <c r="BK870" s="555">
        <v>405878</v>
      </c>
      <c r="BL870" s="555">
        <v>489600</v>
      </c>
      <c r="BM870" s="555">
        <v>626688</v>
      </c>
      <c r="BN870" s="555">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6">
        <v>352022</v>
      </c>
      <c r="BD871" s="556">
        <v>405878</v>
      </c>
      <c r="BE871" s="556">
        <v>489600</v>
      </c>
      <c r="BF871" s="556">
        <v>626688</v>
      </c>
      <c r="BG871" s="556">
        <v>698170</v>
      </c>
      <c r="BI871" s="30" t="s">
        <v>3</v>
      </c>
      <c r="BJ871" s="556">
        <v>352022</v>
      </c>
      <c r="BK871" s="556">
        <v>405878</v>
      </c>
      <c r="BL871" s="556">
        <v>489600</v>
      </c>
      <c r="BM871" s="556">
        <v>626688</v>
      </c>
      <c r="BN871" s="556">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5">
        <v>307732</v>
      </c>
      <c r="BD872" s="555">
        <v>354812</v>
      </c>
      <c r="BE872" s="555">
        <v>428000</v>
      </c>
      <c r="BF872" s="555">
        <v>547840</v>
      </c>
      <c r="BG872" s="555">
        <v>610328</v>
      </c>
      <c r="BI872" s="30" t="s">
        <v>4</v>
      </c>
      <c r="BJ872" s="555">
        <v>307732</v>
      </c>
      <c r="BK872" s="555">
        <v>354812</v>
      </c>
      <c r="BL872" s="555">
        <v>428000</v>
      </c>
      <c r="BM872" s="555">
        <v>547840</v>
      </c>
      <c r="BN872" s="555">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6">
        <v>352022</v>
      </c>
      <c r="BD873" s="556">
        <v>405878</v>
      </c>
      <c r="BE873" s="556">
        <v>489600</v>
      </c>
      <c r="BF873" s="556">
        <v>626688</v>
      </c>
      <c r="BG873" s="556">
        <v>698170</v>
      </c>
      <c r="BI873" s="30" t="s">
        <v>21</v>
      </c>
      <c r="BJ873" s="556">
        <v>352022</v>
      </c>
      <c r="BK873" s="556">
        <v>405878</v>
      </c>
      <c r="BL873" s="556">
        <v>489600</v>
      </c>
      <c r="BM873" s="556">
        <v>626688</v>
      </c>
      <c r="BN873" s="556">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5">
        <v>387110</v>
      </c>
      <c r="BD874" s="555">
        <v>446334</v>
      </c>
      <c r="BE874" s="555">
        <v>538400</v>
      </c>
      <c r="BF874" s="555">
        <v>689152</v>
      </c>
      <c r="BG874" s="555">
        <v>767758</v>
      </c>
      <c r="BH874" s="21"/>
      <c r="BI874" s="30" t="s">
        <v>5</v>
      </c>
      <c r="BJ874" s="555">
        <v>387110</v>
      </c>
      <c r="BK874" s="555">
        <v>446334</v>
      </c>
      <c r="BL874" s="555">
        <v>538400</v>
      </c>
      <c r="BM874" s="555">
        <v>689152</v>
      </c>
      <c r="BN874" s="555">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6">
        <v>331890</v>
      </c>
      <c r="BD875" s="556">
        <v>382666</v>
      </c>
      <c r="BE875" s="556">
        <v>461600</v>
      </c>
      <c r="BF875" s="556">
        <v>590848</v>
      </c>
      <c r="BG875" s="556">
        <v>658242</v>
      </c>
      <c r="BH875" s="21"/>
      <c r="BI875" s="30" t="s">
        <v>6</v>
      </c>
      <c r="BJ875" s="556">
        <v>331890</v>
      </c>
      <c r="BK875" s="556">
        <v>382666</v>
      </c>
      <c r="BL875" s="556">
        <v>461600</v>
      </c>
      <c r="BM875" s="556">
        <v>590848</v>
      </c>
      <c r="BN875" s="556">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5">
        <v>331890</v>
      </c>
      <c r="BD876" s="555">
        <v>382666</v>
      </c>
      <c r="BE876" s="555">
        <v>461600</v>
      </c>
      <c r="BF876" s="555">
        <v>590848</v>
      </c>
      <c r="BG876" s="555">
        <v>658242</v>
      </c>
      <c r="BH876" s="21"/>
      <c r="BI876" s="30" t="s">
        <v>472</v>
      </c>
      <c r="BJ876" s="555">
        <v>331890</v>
      </c>
      <c r="BK876" s="555">
        <v>382666</v>
      </c>
      <c r="BL876" s="555">
        <v>461600</v>
      </c>
      <c r="BM876" s="555">
        <v>590848</v>
      </c>
      <c r="BN876" s="555">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1004</v>
      </c>
      <c r="G877" s="1138"/>
      <c r="H877" s="1138"/>
      <c r="I877" s="1138"/>
      <c r="J877" s="1138"/>
      <c r="K877" s="1138"/>
      <c r="L877" s="1138"/>
      <c r="M877" s="1138"/>
      <c r="N877" s="1138"/>
      <c r="O877" s="1138"/>
      <c r="P877" s="1138"/>
      <c r="Q877" s="1138"/>
      <c r="R877" s="1138"/>
      <c r="S877" s="1138"/>
      <c r="T877" s="1139"/>
      <c r="U877" s="1550"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9" t="s">
        <v>1085</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2"/>
      <c r="G879" s="1183"/>
      <c r="H879" s="1183"/>
      <c r="I879" s="1183"/>
      <c r="J879" s="1183"/>
      <c r="K879" s="1183"/>
      <c r="L879" s="1183"/>
      <c r="M879" s="1183"/>
      <c r="N879" s="1183"/>
      <c r="O879" s="1183"/>
      <c r="P879" s="1183"/>
      <c r="Q879" s="1183"/>
      <c r="R879" s="1183"/>
      <c r="S879" s="1183"/>
      <c r="T879" s="1184"/>
      <c r="U879" s="1512"/>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5" t="s">
        <v>132</v>
      </c>
      <c r="V890" s="1356"/>
      <c r="W890" s="1356"/>
      <c r="X890" s="1356"/>
      <c r="Y890" s="1356"/>
      <c r="Z890" s="1508"/>
      <c r="AA890" s="1532"/>
      <c r="AB890" s="1533"/>
      <c r="AC890" s="1533"/>
      <c r="AD890" s="1533"/>
      <c r="AE890" s="1533"/>
      <c r="AF890" s="153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6"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592</v>
      </c>
      <c r="J895" s="1506"/>
      <c r="K895" s="1506"/>
      <c r="L895" s="1506"/>
      <c r="M895" s="1506"/>
      <c r="N895" s="1506"/>
      <c r="O895" s="1506"/>
      <c r="P895" s="1506"/>
      <c r="Q895" s="1506"/>
      <c r="R895" s="1506"/>
      <c r="S895" s="1506"/>
      <c r="T895" s="1507"/>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5" t="s">
        <v>592</v>
      </c>
      <c r="J896" s="1506"/>
      <c r="K896" s="1506"/>
      <c r="L896" s="1506"/>
      <c r="M896" s="1506"/>
      <c r="N896" s="1506"/>
      <c r="O896" s="1506"/>
      <c r="P896" s="1506"/>
      <c r="Q896" s="1506"/>
      <c r="R896" s="1506"/>
      <c r="S896" s="1506"/>
      <c r="T896" s="1507"/>
      <c r="U896" s="1146" t="s">
        <v>132</v>
      </c>
      <c r="V896" s="1147"/>
      <c r="W896" s="1147"/>
      <c r="X896" s="1147"/>
      <c r="Y896" s="1147"/>
      <c r="Z896" s="1148"/>
      <c r="AA896" s="1144"/>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2037</v>
      </c>
      <c r="J897" s="1506"/>
      <c r="K897" s="1506"/>
      <c r="L897" s="1506"/>
      <c r="M897" s="1506"/>
      <c r="N897" s="1506"/>
      <c r="O897" s="1506"/>
      <c r="P897" s="1506"/>
      <c r="Q897" s="1506"/>
      <c r="R897" s="1506"/>
      <c r="S897" s="1506"/>
      <c r="T897" s="1507"/>
      <c r="U897" s="1146" t="s">
        <v>132</v>
      </c>
      <c r="V897" s="1147"/>
      <c r="W897" s="1147"/>
      <c r="X897" s="1147"/>
      <c r="Y897" s="1147"/>
      <c r="Z897" s="1148"/>
      <c r="AA897" s="1144">
        <f>AO620</f>
        <v>861887</v>
      </c>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592</v>
      </c>
      <c r="J898" s="1506"/>
      <c r="K898" s="1506"/>
      <c r="L898" s="1506"/>
      <c r="M898" s="1506"/>
      <c r="N898" s="1506"/>
      <c r="O898" s="1506"/>
      <c r="P898" s="1506"/>
      <c r="Q898" s="1506"/>
      <c r="R898" s="1506"/>
      <c r="S898" s="1506"/>
      <c r="T898" s="1507"/>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49">
        <v>45139</v>
      </c>
      <c r="M903" s="1150"/>
      <c r="N903" s="1150"/>
      <c r="O903" s="1150"/>
      <c r="P903" s="1150"/>
      <c r="Q903" s="1150"/>
      <c r="R903" s="1150"/>
      <c r="S903" s="1151"/>
      <c r="U903" s="72" t="s">
        <v>867</v>
      </c>
      <c r="V903" s="9"/>
      <c r="W903" s="9"/>
      <c r="X903" s="9"/>
      <c r="Y903" s="9"/>
      <c r="Z903" s="9"/>
      <c r="AA903" s="9"/>
      <c r="AB903" s="9"/>
      <c r="AC903" s="9"/>
      <c r="AD903" s="52"/>
      <c r="AE903" s="1528"/>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34" t="s">
        <v>2520</v>
      </c>
      <c r="M904" s="1150"/>
      <c r="N904" s="1150"/>
      <c r="O904" s="1150"/>
      <c r="P904" s="1150"/>
      <c r="Q904" s="1150"/>
      <c r="R904" s="1150"/>
      <c r="S904" s="1151"/>
      <c r="U904" s="72" t="s">
        <v>868</v>
      </c>
      <c r="V904" s="9"/>
      <c r="W904" s="9"/>
      <c r="X904" s="9"/>
      <c r="Y904" s="9"/>
      <c r="Z904" s="9"/>
      <c r="AA904" s="9"/>
      <c r="AB904" s="9"/>
      <c r="AC904" s="9"/>
      <c r="AD904" s="52"/>
      <c r="AE904" s="1529"/>
      <c r="AF904" s="1530"/>
      <c r="AG904" s="1530"/>
      <c r="AH904" s="1530"/>
      <c r="AI904" s="1530"/>
      <c r="AJ904" s="1530"/>
      <c r="AK904" s="153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1" t="s">
        <v>2516</v>
      </c>
      <c r="M905" s="1432"/>
      <c r="N905" s="1432"/>
      <c r="O905" s="1432"/>
      <c r="P905" s="1432"/>
      <c r="Q905" s="1432"/>
      <c r="R905" s="1432"/>
      <c r="S905" s="1433"/>
      <c r="U905" s="72" t="s">
        <v>1154</v>
      </c>
      <c r="V905" s="9"/>
      <c r="W905" s="9"/>
      <c r="AE905" s="1443" t="s">
        <v>84</v>
      </c>
      <c r="AF905" s="1444"/>
      <c r="AG905" s="1444"/>
      <c r="AH905" s="1444"/>
      <c r="AI905" s="1444"/>
      <c r="AJ905" s="1444"/>
      <c r="AK905" s="1445"/>
      <c r="AL905" s="74"/>
      <c r="AM905" s="43"/>
      <c r="AN905" s="43"/>
      <c r="AO905" s="43"/>
      <c r="AP905" s="43"/>
      <c r="AQ905" s="43"/>
      <c r="AR905" s="43"/>
      <c r="AS905" s="43"/>
      <c r="AT905" s="43"/>
      <c r="AU905" s="43"/>
      <c r="AV905" s="43"/>
      <c r="AW905" s="38" t="s">
        <v>619</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3">
        <v>1</v>
      </c>
      <c r="M906" s="1164"/>
      <c r="N906" s="1164"/>
      <c r="O906" s="1164"/>
      <c r="P906" s="1164"/>
      <c r="Q906" s="1164"/>
      <c r="R906" s="1164"/>
      <c r="S906" s="1165"/>
      <c r="U906" s="72" t="s">
        <v>869</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72">
        <v>73</v>
      </c>
      <c r="M907" s="1473"/>
      <c r="N907" s="1473"/>
      <c r="O907" s="1473"/>
      <c r="P907" s="1473"/>
      <c r="Q907" s="1473"/>
      <c r="R907" s="1473"/>
      <c r="S907" s="1474"/>
      <c r="U907" s="72" t="s">
        <v>870</v>
      </c>
      <c r="V907" s="9"/>
      <c r="W907" s="9"/>
      <c r="X907" s="9"/>
      <c r="Y907" s="9"/>
      <c r="Z907" s="9"/>
      <c r="AA907" s="9"/>
      <c r="AB907" s="9"/>
      <c r="AC907" s="9"/>
      <c r="AD907" s="52"/>
      <c r="AE907" s="1475"/>
      <c r="AF907" s="1378"/>
      <c r="AG907" s="1378"/>
      <c r="AH907" s="1378"/>
      <c r="AI907" s="1378"/>
      <c r="AJ907" s="1378"/>
      <c r="AK907" s="1379"/>
      <c r="AL907" s="74"/>
      <c r="AM907" s="43"/>
      <c r="AN907" s="43"/>
      <c r="AO907" s="43"/>
      <c r="AP907" s="43"/>
      <c r="AQ907" s="43"/>
      <c r="AR907" s="43"/>
      <c r="AS907" s="43"/>
      <c r="AT907" s="43"/>
      <c r="AU907" s="43"/>
      <c r="AV907" s="43"/>
      <c r="AW907" s="38" t="s">
        <v>620</v>
      </c>
      <c r="AX907" s="206">
        <v>7</v>
      </c>
      <c r="AY907" s="1451">
        <f>IF(AD948&gt;0,0.07,0)</f>
        <v>0</v>
      </c>
      <c r="AZ907" s="14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6">
        <f>L909/L907</f>
        <v>5910.4931506849316</v>
      </c>
      <c r="M908" s="1167"/>
      <c r="N908" s="1167"/>
      <c r="O908" s="1167"/>
      <c r="P908" s="1167"/>
      <c r="Q908" s="1167"/>
      <c r="R908" s="1167"/>
      <c r="S908" s="1168"/>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6">
        <v>431466</v>
      </c>
      <c r="M909" s="1167"/>
      <c r="N909" s="1167"/>
      <c r="O909" s="1167"/>
      <c r="P909" s="1167"/>
      <c r="Q909" s="1167"/>
      <c r="R909" s="1167"/>
      <c r="S909" s="1168"/>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69"/>
      <c r="M910" s="1470"/>
      <c r="N910" s="1470"/>
      <c r="O910" s="1470"/>
      <c r="P910" s="1470"/>
      <c r="Q910" s="1470"/>
      <c r="R910" s="1470"/>
      <c r="S910" s="1471"/>
      <c r="U910" s="214" t="s">
        <v>2070</v>
      </c>
      <c r="V910" s="9"/>
      <c r="W910" s="9"/>
      <c r="X910" s="9"/>
      <c r="Y910" s="9"/>
      <c r="Z910" s="9"/>
      <c r="AA910" s="9"/>
      <c r="AB910" s="9"/>
      <c r="AC910" s="9"/>
      <c r="AD910" s="52"/>
      <c r="AE910" s="1469"/>
      <c r="AF910" s="1470"/>
      <c r="AG910" s="1470"/>
      <c r="AH910" s="1470"/>
      <c r="AI910" s="1470"/>
      <c r="AJ910" s="1470"/>
      <c r="AK910" s="1471"/>
      <c r="AL910" s="74"/>
      <c r="AM910" s="43"/>
      <c r="AN910" s="43"/>
      <c r="AO910" s="43"/>
      <c r="AP910" s="43"/>
      <c r="AQ910" s="43"/>
      <c r="AR910" s="43"/>
      <c r="AS910" s="43"/>
      <c r="AT910" s="43"/>
      <c r="AU910" s="43"/>
      <c r="AV910" s="43"/>
      <c r="AW910" s="38" t="s">
        <v>622</v>
      </c>
      <c r="AX910" s="206">
        <v>10</v>
      </c>
      <c r="AY910" s="1458">
        <f>AY918</f>
        <v>0</v>
      </c>
      <c r="AZ910" s="14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6"/>
      <c r="AZ912" s="1447"/>
      <c r="BA912" s="144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8">
        <f>SUM(AY905:AY913)</f>
        <v>0</v>
      </c>
      <c r="AZ914" s="145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0"/>
      <c r="N915" s="1171"/>
      <c r="O915" s="1171"/>
      <c r="P915" s="1171"/>
      <c r="Q915" s="1171"/>
      <c r="R915" s="1171"/>
      <c r="S915" s="1172"/>
      <c r="T915" s="72" t="s">
        <v>993</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0"/>
      <c r="N916" s="1171"/>
      <c r="O916" s="1171"/>
      <c r="P916" s="1171"/>
      <c r="Q916" s="1171"/>
      <c r="R916" s="1171"/>
      <c r="S916" s="1172"/>
      <c r="T916" s="72" t="s">
        <v>992</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8">
        <f>SUM(AY905:AZ909)+AY913</f>
        <v>0</v>
      </c>
      <c r="AZ916" s="1459"/>
      <c r="BA916" s="1449">
        <v>0.39</v>
      </c>
      <c r="BB916" s="14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17" t="s">
        <v>132</v>
      </c>
      <c r="N917" s="1235"/>
      <c r="O917" s="1235"/>
      <c r="P917" s="1235"/>
      <c r="Q917" s="1235"/>
      <c r="R917" s="1235"/>
      <c r="S917" s="1318"/>
      <c r="T917" s="8" t="s">
        <v>596</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0"/>
      <c r="N918" s="1171"/>
      <c r="O918" s="1171"/>
      <c r="P918" s="1171"/>
      <c r="Q918" s="1171"/>
      <c r="R918" s="1171"/>
      <c r="S918" s="1172"/>
      <c r="T918" s="8" t="s">
        <v>597</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t="s">
        <v>116</v>
      </c>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43" t="s">
        <v>2516</v>
      </c>
      <c r="N920" s="1444"/>
      <c r="O920" s="1444"/>
      <c r="P920" s="1444"/>
      <c r="Q920" s="1444"/>
      <c r="R920" s="1444"/>
      <c r="S920" s="1445"/>
      <c r="T920" s="1466"/>
      <c r="U920" s="1467"/>
      <c r="V920" s="1467"/>
      <c r="W920" s="1467"/>
      <c r="X920" s="1467"/>
      <c r="Y920" s="1467"/>
      <c r="Z920" s="1468"/>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66"/>
      <c r="U921" s="1467"/>
      <c r="V921" s="1467"/>
      <c r="W921" s="1467"/>
      <c r="X921" s="1467"/>
      <c r="Y921" s="1467"/>
      <c r="Z921" s="1468"/>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17" t="s">
        <v>116</v>
      </c>
      <c r="P922" s="1318"/>
      <c r="Q922" s="146"/>
      <c r="R922" s="146"/>
      <c r="S922" s="147"/>
      <c r="T922" s="6" t="s">
        <v>298</v>
      </c>
      <c r="U922" s="7"/>
      <c r="V922" s="7"/>
      <c r="W922" s="1460" t="s">
        <v>592</v>
      </c>
      <c r="X922" s="1461"/>
      <c r="Y922" s="1461"/>
      <c r="Z922" s="1461"/>
      <c r="AA922" s="1461"/>
      <c r="AB922" s="1461"/>
      <c r="AC922" s="1461"/>
      <c r="AD922" s="1461"/>
      <c r="AE922" s="1461"/>
      <c r="AF922" s="1461"/>
      <c r="AG922" s="14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f>L909</f>
        <v>431466</v>
      </c>
      <c r="N923" s="1171"/>
      <c r="O923" s="1171"/>
      <c r="P923" s="1171"/>
      <c r="Q923" s="1171"/>
      <c r="R923" s="1171"/>
      <c r="S923" s="1172"/>
      <c r="T923" s="53"/>
      <c r="U923" s="54"/>
      <c r="V923" s="54"/>
      <c r="W923" s="54"/>
      <c r="X923" s="54"/>
      <c r="Y923" s="54"/>
      <c r="Z923" s="226" t="s">
        <v>242</v>
      </c>
      <c r="AA923" s="1463"/>
      <c r="AB923" s="1464"/>
      <c r="AC923" s="1464"/>
      <c r="AD923" s="1464"/>
      <c r="AE923" s="1464"/>
      <c r="AF923" s="1464"/>
      <c r="AG923" s="146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5"/>
      <c r="D932" s="1455" t="s">
        <v>453</v>
      </c>
      <c r="E932" s="1456"/>
      <c r="F932" s="1456"/>
      <c r="G932" s="1456"/>
      <c r="H932" s="1456"/>
      <c r="I932" s="1456"/>
      <c r="J932" s="1456"/>
      <c r="K932" s="1456"/>
      <c r="L932" s="1456"/>
      <c r="M932" s="1456"/>
      <c r="N932" s="1456"/>
      <c r="O932" s="1456"/>
      <c r="P932" s="1456"/>
      <c r="Q932" s="1457"/>
      <c r="R932" s="1455" t="s">
        <v>454</v>
      </c>
      <c r="S932" s="1456"/>
      <c r="T932" s="1456"/>
      <c r="U932" s="1456"/>
      <c r="V932" s="1456"/>
      <c r="W932" s="1456"/>
      <c r="X932" s="1456"/>
      <c r="Y932" s="1456"/>
      <c r="Z932" s="1456"/>
      <c r="AA932" s="1457"/>
      <c r="AB932" s="1455" t="s">
        <v>455</v>
      </c>
      <c r="AC932" s="1456"/>
      <c r="AD932" s="1456"/>
      <c r="AE932" s="1456"/>
      <c r="AF932" s="1456"/>
      <c r="AG932" s="1456"/>
      <c r="AH932" s="1456"/>
      <c r="AI932" s="1457"/>
      <c r="AJ932" s="1455" t="s">
        <v>456</v>
      </c>
      <c r="AK932" s="1456"/>
      <c r="AL932" s="1456"/>
      <c r="AM932" s="1456"/>
      <c r="AN932" s="1456"/>
      <c r="AO932" s="1456"/>
      <c r="AP932" s="1456"/>
      <c r="AQ932" s="145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6"/>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437727</v>
      </c>
      <c r="S933" s="1068"/>
      <c r="T933" s="1068"/>
      <c r="U933" s="1068"/>
      <c r="V933" s="1068"/>
      <c r="W933" s="1068"/>
      <c r="X933" s="1068"/>
      <c r="Y933" s="1068"/>
      <c r="Z933" s="1068"/>
      <c r="AA933" s="1068"/>
      <c r="AB933" s="1069">
        <f>BN638</f>
        <v>2</v>
      </c>
      <c r="AC933" s="1070"/>
      <c r="AD933" s="1070"/>
      <c r="AE933" s="1070"/>
      <c r="AF933" s="1070"/>
      <c r="AG933" s="1070"/>
      <c r="AH933" s="1070"/>
      <c r="AI933" s="1071"/>
      <c r="AJ933" s="1072">
        <f>IF(ISERROR((R933*AB933)),0,(R933*AB933))</f>
        <v>875454</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504695</v>
      </c>
      <c r="S934" s="1068"/>
      <c r="T934" s="1068"/>
      <c r="U934" s="1068"/>
      <c r="V934" s="1068"/>
      <c r="W934" s="1068"/>
      <c r="X934" s="1068"/>
      <c r="Y934" s="1068"/>
      <c r="Z934" s="1068"/>
      <c r="AA934" s="1068"/>
      <c r="AB934" s="1069">
        <f>BS638</f>
        <v>16</v>
      </c>
      <c r="AC934" s="1070"/>
      <c r="AD934" s="1070"/>
      <c r="AE934" s="1070"/>
      <c r="AF934" s="1070"/>
      <c r="AG934" s="1070"/>
      <c r="AH934" s="1070"/>
      <c r="AI934" s="1071"/>
      <c r="AJ934" s="1072">
        <f>IF(ISERROR((R934*AB934)),0,(R934*AB934))</f>
        <v>8075120</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816</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608800</v>
      </c>
      <c r="S935" s="1068"/>
      <c r="T935" s="1068"/>
      <c r="U935" s="1068"/>
      <c r="V935" s="1068"/>
      <c r="W935" s="1068"/>
      <c r="X935" s="1068"/>
      <c r="Y935" s="1068"/>
      <c r="Z935" s="1068"/>
      <c r="AA935" s="1068"/>
      <c r="AB935" s="1069">
        <f>BX638</f>
        <v>53</v>
      </c>
      <c r="AC935" s="1070"/>
      <c r="AD935" s="1070"/>
      <c r="AE935" s="1070"/>
      <c r="AF935" s="1070"/>
      <c r="AG935" s="1070"/>
      <c r="AH935" s="1070"/>
      <c r="AI935" s="1071"/>
      <c r="AJ935" s="1072">
        <f>IF(ISERROR((R935*AB935)),0,(R935*AB935))</f>
        <v>32266400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817</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779264</v>
      </c>
      <c r="S936" s="1068"/>
      <c r="T936" s="1068"/>
      <c r="U936" s="1068"/>
      <c r="V936" s="1068"/>
      <c r="W936" s="1068"/>
      <c r="X936" s="1068"/>
      <c r="Y936" s="1068"/>
      <c r="Z936" s="1068"/>
      <c r="AA936" s="1068"/>
      <c r="AB936" s="1069">
        <f>CC638</f>
        <v>2</v>
      </c>
      <c r="AC936" s="1070"/>
      <c r="AD936" s="1070"/>
      <c r="AE936" s="1070"/>
      <c r="AF936" s="1070"/>
      <c r="AG936" s="1070"/>
      <c r="AH936" s="1070"/>
      <c r="AI936" s="1071"/>
      <c r="AJ936" s="1072">
        <f>IF(ISERROR((R936*AB936)),0,(R936*AB936))</f>
        <v>1558528</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828</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868149</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1003</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73</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783</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42775502</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7" t="s">
        <v>510</v>
      </c>
      <c r="D941" s="1075" t="s">
        <v>1984</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511</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78"/>
      <c r="C942" s="879"/>
      <c r="D942" s="1452" t="s">
        <v>2096</v>
      </c>
      <c r="E942" s="1453"/>
      <c r="F942" s="1453"/>
      <c r="G942" s="1453"/>
      <c r="H942" s="1453"/>
      <c r="I942" s="1453"/>
      <c r="J942" s="1453"/>
      <c r="K942" s="1453"/>
      <c r="L942" s="1453"/>
      <c r="M942" s="1453"/>
      <c r="N942" s="1453"/>
      <c r="O942" s="1453"/>
      <c r="P942" s="1453"/>
      <c r="Q942" s="1453"/>
      <c r="R942" s="1453"/>
      <c r="S942" s="1453"/>
      <c r="T942" s="1453"/>
      <c r="U942" s="1453"/>
      <c r="V942" s="1453"/>
      <c r="W942" s="1453"/>
      <c r="X942" s="1453"/>
      <c r="Y942" s="1453"/>
      <c r="Z942" s="1453"/>
      <c r="AA942" s="1453"/>
      <c r="AB942" s="1453"/>
      <c r="AC942" s="1453"/>
      <c r="AD942" s="1453"/>
      <c r="AE942" s="1454"/>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8"/>
      <c r="C943" s="879"/>
      <c r="D943" s="1435"/>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0"/>
      <c r="C944" s="881"/>
      <c r="D944" s="1094" t="s">
        <v>2097</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8"/>
      <c r="C945" s="882"/>
      <c r="D945" s="1452" t="s">
        <v>1985</v>
      </c>
      <c r="E945" s="1453"/>
      <c r="F945" s="1453"/>
      <c r="G945" s="1453"/>
      <c r="H945" s="1453"/>
      <c r="I945" s="1453"/>
      <c r="J945" s="1453"/>
      <c r="K945" s="1453"/>
      <c r="L945" s="1453"/>
      <c r="M945" s="1453"/>
      <c r="N945" s="1453"/>
      <c r="O945" s="1453"/>
      <c r="P945" s="1453"/>
      <c r="Q945" s="1453"/>
      <c r="R945" s="1453"/>
      <c r="S945" s="1453"/>
      <c r="T945" s="1453"/>
      <c r="U945" s="1453"/>
      <c r="V945" s="1453"/>
      <c r="W945" s="1453"/>
      <c r="X945" s="1453"/>
      <c r="Y945" s="1453"/>
      <c r="Z945" s="1453"/>
      <c r="AA945" s="1453"/>
      <c r="AB945" s="1453"/>
      <c r="AC945" s="1453"/>
      <c r="AD945" s="1453"/>
      <c r="AE945" s="1454"/>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8"/>
      <c r="C946" s="882"/>
      <c r="D946" s="1452"/>
      <c r="E946" s="1453"/>
      <c r="F946" s="1453"/>
      <c r="G946" s="1453"/>
      <c r="H946" s="1453"/>
      <c r="I946" s="1453"/>
      <c r="J946" s="1453"/>
      <c r="K946" s="1453"/>
      <c r="L946" s="1453"/>
      <c r="M946" s="1453"/>
      <c r="N946" s="1453"/>
      <c r="O946" s="1453"/>
      <c r="P946" s="1453"/>
      <c r="Q946" s="1453"/>
      <c r="R946" s="1453"/>
      <c r="S946" s="1453"/>
      <c r="T946" s="1453"/>
      <c r="U946" s="1453"/>
      <c r="V946" s="1453"/>
      <c r="W946" s="1453"/>
      <c r="X946" s="1453"/>
      <c r="Y946" s="1453"/>
      <c r="Z946" s="1453"/>
      <c r="AA946" s="1453"/>
      <c r="AB946" s="1453"/>
      <c r="AC946" s="1453"/>
      <c r="AD946" s="1453"/>
      <c r="AE946" s="1454"/>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8"/>
      <c r="C947" s="882"/>
      <c r="D947" s="1452"/>
      <c r="E947" s="1453"/>
      <c r="F947" s="1453"/>
      <c r="G947" s="1453"/>
      <c r="H947" s="1453"/>
      <c r="I947" s="1453"/>
      <c r="J947" s="1453"/>
      <c r="K947" s="1453"/>
      <c r="L947" s="1453"/>
      <c r="M947" s="1453"/>
      <c r="N947" s="1453"/>
      <c r="O947" s="1453"/>
      <c r="P947" s="1453"/>
      <c r="Q947" s="1453"/>
      <c r="R947" s="1453"/>
      <c r="S947" s="1453"/>
      <c r="T947" s="1453"/>
      <c r="U947" s="1453"/>
      <c r="V947" s="1453"/>
      <c r="W947" s="1453"/>
      <c r="X947" s="1453"/>
      <c r="Y947" s="1453"/>
      <c r="Z947" s="1453"/>
      <c r="AA947" s="1453"/>
      <c r="AB947" s="1453"/>
      <c r="AC947" s="1453"/>
      <c r="AD947" s="1453"/>
      <c r="AE947" s="1454"/>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8"/>
      <c r="C948" s="882"/>
      <c r="D948" s="1452"/>
      <c r="E948" s="1453"/>
      <c r="F948" s="1453"/>
      <c r="G948" s="1453"/>
      <c r="H948" s="1453"/>
      <c r="I948" s="1453"/>
      <c r="J948" s="1453"/>
      <c r="K948" s="1453"/>
      <c r="L948" s="1453"/>
      <c r="M948" s="1453"/>
      <c r="N948" s="1453"/>
      <c r="O948" s="1453"/>
      <c r="P948" s="1453"/>
      <c r="Q948" s="1453"/>
      <c r="R948" s="1453"/>
      <c r="S948" s="1453"/>
      <c r="T948" s="1453"/>
      <c r="U948" s="1453"/>
      <c r="V948" s="1453"/>
      <c r="W948" s="1453"/>
      <c r="X948" s="1453"/>
      <c r="Y948" s="1453"/>
      <c r="Z948" s="1453"/>
      <c r="AA948" s="1453"/>
      <c r="AB948" s="1453"/>
      <c r="AC948" s="1453"/>
      <c r="AD948" s="1453"/>
      <c r="AE948" s="1454"/>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3"/>
      <c r="C949" s="884"/>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0"/>
      <c r="C950" s="568" t="s">
        <v>514</v>
      </c>
      <c r="D950" s="1094" t="s">
        <v>2098</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9"/>
      <c r="D951" s="1097" t="s">
        <v>2099</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9"/>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5"/>
      <c r="C953" s="884"/>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8" t="s">
        <v>518</v>
      </c>
      <c r="D954" s="1094" t="s">
        <v>1986</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9"/>
      <c r="D955" s="1100" t="s">
        <v>1987</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8" t="s">
        <v>521</v>
      </c>
      <c r="D956" s="1094" t="s">
        <v>1988</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9"/>
      <c r="D957" s="1097" t="s">
        <v>1989</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3"/>
      <c r="C958" s="884"/>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8" t="s">
        <v>631</v>
      </c>
      <c r="D959" s="1075" t="s">
        <v>1990</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9"/>
      <c r="D960" s="1097" t="s">
        <v>2100</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9"/>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6"/>
      <c r="C962" s="882"/>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8" t="s">
        <v>636</v>
      </c>
      <c r="D963" s="1110" t="s">
        <v>1991</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6"/>
      <c r="C964" s="88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3" t="str">
        <f>IF(AG963="yes","Please Select Type and Enter Amount:","")</f>
        <v/>
      </c>
      <c r="AG964" s="1544"/>
      <c r="AH964" s="1544"/>
      <c r="AI964" s="1545"/>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6"/>
      <c r="C965" s="887"/>
      <c r="D965" s="1097" t="s">
        <v>1992</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3"/>
      <c r="AG965" s="1544"/>
      <c r="AH965" s="1544"/>
      <c r="AI965" s="1545"/>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6"/>
      <c r="C966" s="887"/>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6"/>
      <c r="AG966" s="1546"/>
      <c r="AH966" s="1546"/>
      <c r="AI966" s="1546"/>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6"/>
      <c r="C967" s="887"/>
      <c r="D967" s="888" t="s">
        <v>923</v>
      </c>
      <c r="E967" s="88"/>
      <c r="F967" s="88"/>
      <c r="G967" s="412"/>
      <c r="H967" s="412"/>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6"/>
      <c r="AG967" s="1546"/>
      <c r="AH967" s="1546"/>
      <c r="AI967" s="1546"/>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8" t="s">
        <v>603</v>
      </c>
      <c r="D968" s="1094" t="s">
        <v>1993</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511</v>
      </c>
      <c r="AH968" s="1079"/>
      <c r="AI968" s="85"/>
      <c r="AJ968" s="1056">
        <f>ROUND(IF(AG968="Yes",AF970,0),0)</f>
        <v>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9"/>
      <c r="D969" s="1097" t="s">
        <v>2101</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7" t="str">
        <f>IF(AG968="yes","Please Enter Amount:","")</f>
        <v/>
      </c>
      <c r="AG969" s="1548"/>
      <c r="AH969" s="1548"/>
      <c r="AI969" s="1549"/>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9"/>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6"/>
      <c r="AG970" s="1546"/>
      <c r="AH970" s="1546"/>
      <c r="AI970" s="1546"/>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5"/>
      <c r="C971" s="887"/>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6"/>
      <c r="AG971" s="1546"/>
      <c r="AH971" s="1546"/>
      <c r="AI971" s="1546"/>
      <c r="AJ971" s="1062"/>
      <c r="AK971" s="1063"/>
      <c r="AL971" s="1063"/>
      <c r="AM971" s="1063"/>
      <c r="AN971" s="1063"/>
      <c r="AO971" s="1063"/>
      <c r="AP971" s="1063"/>
      <c r="AQ971" s="1064"/>
    </row>
    <row r="972" spans="1:97" ht="12.95" customHeight="1">
      <c r="A972" s="21"/>
      <c r="B972" s="82"/>
      <c r="C972" s="568" t="s">
        <v>608</v>
      </c>
      <c r="D972" s="1075" t="s">
        <v>1994</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69"/>
      <c r="D973" s="1097" t="s">
        <v>1995</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7"/>
      <c r="B974" s="80"/>
      <c r="C974" s="569"/>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7"/>
      <c r="B975" s="79"/>
      <c r="C975" s="568" t="s">
        <v>611</v>
      </c>
      <c r="D975" s="1094" t="s">
        <v>2102</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7"/>
      <c r="B976" s="79"/>
      <c r="C976" s="569"/>
      <c r="D976" s="1105" t="s">
        <v>2103</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89"/>
      <c r="AG976" s="890"/>
      <c r="AH976" s="890"/>
      <c r="AI976" s="891"/>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7"/>
      <c r="B977" s="79"/>
      <c r="C977" s="569"/>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89"/>
      <c r="AG977" s="890"/>
      <c r="AH977" s="890"/>
      <c r="AI977" s="891"/>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7"/>
      <c r="B978" s="79"/>
      <c r="C978" s="569"/>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2"/>
      <c r="AG978" s="893"/>
      <c r="AH978" s="893"/>
      <c r="AI978" s="894"/>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8" t="s">
        <v>611</v>
      </c>
      <c r="D979" s="1075" t="s">
        <v>2104</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9"/>
      <c r="D980" s="1105" t="s">
        <v>2105</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9"/>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9"/>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9"/>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5" t="s">
        <v>2106</v>
      </c>
      <c r="D984" s="1094" t="s">
        <v>1996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9"/>
      <c r="D985" s="1097" t="s">
        <v>2238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9"/>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9"/>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6"/>
      <c r="D988" s="1438" t="s">
        <v>784</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42775502</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40898332</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5">
        <f>IFERROR(X992/AJ988,"")</f>
        <v>0.95611576925502828</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69"/>
      <c r="C997" s="969"/>
      <c r="D997" s="969"/>
      <c r="E997" s="969"/>
      <c r="F997" s="969"/>
      <c r="G997" s="969"/>
      <c r="H997" s="969"/>
      <c r="I997" s="969"/>
      <c r="J997" s="969"/>
      <c r="K997" s="969"/>
      <c r="L997" s="969"/>
      <c r="M997" s="969"/>
      <c r="N997" s="969"/>
      <c r="O997" s="969"/>
      <c r="P997" s="969"/>
      <c r="Q997" s="969"/>
      <c r="R997" s="969"/>
      <c r="S997" s="969"/>
      <c r="T997" s="969"/>
      <c r="U997" s="969"/>
      <c r="V997" s="969"/>
      <c r="W997" s="969"/>
      <c r="X997" s="969"/>
      <c r="Y997" s="969"/>
      <c r="Z997" s="969"/>
      <c r="AA997" s="969"/>
      <c r="AB997" s="969"/>
      <c r="AC997" s="969"/>
      <c r="AD997" s="969"/>
      <c r="AE997" s="969"/>
      <c r="AF997" s="969"/>
      <c r="AG997" s="969"/>
      <c r="AH997" s="969"/>
      <c r="AI997" s="969"/>
      <c r="AJ997" s="969"/>
      <c r="AK997" s="969"/>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69"/>
      <c r="C998" s="969"/>
      <c r="D998" s="969"/>
      <c r="E998" s="969"/>
      <c r="F998" s="969"/>
      <c r="G998" s="969"/>
      <c r="H998" s="969"/>
      <c r="I998" s="969"/>
      <c r="J998" s="969"/>
      <c r="K998" s="969"/>
      <c r="L998" s="969"/>
      <c r="M998" s="969"/>
      <c r="N998" s="969"/>
      <c r="O998" s="969"/>
      <c r="P998" s="969"/>
      <c r="Q998" s="969"/>
      <c r="R998" s="969"/>
      <c r="S998" s="969"/>
      <c r="T998" s="969"/>
      <c r="U998" s="969"/>
      <c r="V998" s="969"/>
      <c r="W998" s="969"/>
      <c r="X998" s="969"/>
      <c r="Y998" s="969"/>
      <c r="Z998" s="969"/>
      <c r="AA998" s="969"/>
      <c r="AB998" s="969"/>
      <c r="AC998" s="969"/>
      <c r="AD998" s="969"/>
      <c r="AE998" s="969"/>
      <c r="AF998" s="969"/>
      <c r="AG998" s="969"/>
      <c r="AH998" s="969"/>
      <c r="AI998" s="969"/>
      <c r="AJ998" s="969"/>
      <c r="AK998" s="969"/>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9" t="s">
        <v>1032</v>
      </c>
      <c r="B1000" s="1539"/>
      <c r="C1000" s="1539"/>
      <c r="D1000" s="1539"/>
      <c r="E1000" s="1539"/>
      <c r="F1000" s="1539"/>
      <c r="G1000" s="1539"/>
      <c r="H1000" s="1539"/>
      <c r="I1000" s="1539"/>
      <c r="J1000" s="1539"/>
      <c r="K1000" s="1539"/>
      <c r="L1000" s="1539"/>
      <c r="M1000" s="1539"/>
      <c r="N1000" s="1539"/>
      <c r="O1000" s="1539"/>
      <c r="P1000" s="1539"/>
      <c r="Q1000" s="1539"/>
      <c r="R1000" s="1539"/>
      <c r="S1000" s="1539"/>
      <c r="T1000" s="1539"/>
      <c r="U1000" s="1539"/>
      <c r="V1000" s="1539"/>
      <c r="W1000" s="1539"/>
      <c r="X1000" s="1539"/>
      <c r="Y1000" s="1539"/>
      <c r="Z1000" s="1539"/>
      <c r="AA1000" s="1539"/>
      <c r="AB1000" s="1539"/>
      <c r="AC1000" s="1539"/>
      <c r="AD1000" s="1539"/>
      <c r="AE1000" s="1539"/>
      <c r="AF1000" s="1539"/>
      <c r="AG1000" s="1539"/>
      <c r="AH1000" s="1539"/>
      <c r="AI1000" s="1539"/>
      <c r="AJ1000" s="1539"/>
      <c r="AK1000" s="15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1588</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1589</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2350</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2147</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1797</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1590</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1592</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8" t="s">
        <v>132</v>
      </c>
      <c r="B1042" s="1538"/>
      <c r="C1042" s="352">
        <v>9</v>
      </c>
      <c r="D1042" s="972" t="s">
        <v>1591</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5" priority="43" stopIfTrue="1" operator="equal">
      <formula>#N/A</formula>
    </cfRule>
  </conditionalFormatting>
  <conditionalFormatting sqref="C546:C557 M546:M557 Q546:AS557 Q619:Q629 T619:T629 W619:W629 Z619:Z629 AC619:AS629">
    <cfRule type="expression" dxfId="94" priority="5">
      <formula>$AT546="!"</formula>
    </cfRule>
  </conditionalFormatting>
  <conditionalFormatting sqref="C718:AH719">
    <cfRule type="expression" dxfId="93" priority="3">
      <formula>NOT($D$214="Special Needs")</formula>
    </cfRule>
  </conditionalFormatting>
  <conditionalFormatting sqref="E218">
    <cfRule type="expression" dxfId="92" priority="31">
      <formula>NOT(OR($D$214="Seniors",$E$217="Seniors"))</formula>
    </cfRule>
  </conditionalFormatting>
  <conditionalFormatting sqref="E219">
    <cfRule type="expression" dxfId="91" priority="30">
      <formula>NOT($D$214="At-Risk")</formula>
    </cfRule>
  </conditionalFormatting>
  <conditionalFormatting sqref="E215:AA215">
    <cfRule type="expression" dxfId="90" priority="36">
      <formula>NOT($D$214="Special Needs")</formula>
    </cfRule>
  </conditionalFormatting>
  <conditionalFormatting sqref="E217:AA217">
    <cfRule type="expression" dxfId="89" priority="33">
      <formula>AND($AC$215&gt;0,$AF$215&lt;75%)</formula>
    </cfRule>
  </conditionalFormatting>
  <conditionalFormatting sqref="E857:AB858">
    <cfRule type="expression" dxfId="88" priority="14">
      <formula>AND(AC857&lt;&gt;"",OR(E857="Other (Specify):",E857=""))</formula>
    </cfRule>
  </conditionalFormatting>
  <conditionalFormatting sqref="E216:AI216">
    <cfRule type="expression" dxfId="87" priority="34">
      <formula>AND($AC$215&gt;0,$AF$215&lt;75%)</formula>
    </cfRule>
  </conditionalFormatting>
  <conditionalFormatting sqref="F795:L795">
    <cfRule type="expression" dxfId="86" priority="20">
      <formula>AND(OR(M795&lt;&gt;"",$Q$795&lt;&gt;"",$U$795&lt;&gt;"",$Y$795&lt;&gt;"",$AC$795&lt;&gt;"",$AG$795&lt;&gt;""),OR(F795="(specify here)",F795=""))</formula>
    </cfRule>
  </conditionalFormatting>
  <conditionalFormatting sqref="L501:AB501">
    <cfRule type="expression" dxfId="85" priority="28">
      <formula>AND(NOT(AC501="N/A"),AH501&lt;&gt;"",OR(L501="(specify here)",L501=""))</formula>
    </cfRule>
  </conditionalFormatting>
  <conditionalFormatting sqref="M810:V810">
    <cfRule type="expression" dxfId="84" priority="19">
      <formula>AND(W810&lt;&gt;"",OR(M810="(specify here)",M810=""))</formula>
    </cfRule>
  </conditionalFormatting>
  <conditionalFormatting sqref="M825:V825">
    <cfRule type="expression" dxfId="83" priority="18">
      <formula>AND(W825&lt;&gt;"",OR(M825="(specify here)",M825=""))</formula>
    </cfRule>
  </conditionalFormatting>
  <conditionalFormatting sqref="M835:V835">
    <cfRule type="expression" dxfId="82" priority="17">
      <formula>AND(W835&lt;&gt;"",OR(M835="(specify here)",M835=""))</formula>
    </cfRule>
  </conditionalFormatting>
  <conditionalFormatting sqref="M838:V842">
    <cfRule type="expression" dxfId="81" priority="16">
      <formula>AND(W838&lt;&gt;"",OR(M838="(specify here)",M838=""))</formula>
    </cfRule>
  </conditionalFormatting>
  <conditionalFormatting sqref="O512:AA512">
    <cfRule type="expression" dxfId="80" priority="27">
      <formula>AND(OR(AND(NOT(AC512="N/A"),AH512&lt;&gt;""),AND(NOT(AC513="N/A"),AH513&lt;&gt;""),AND(NOT(AC514="N/A"),AH514&lt;&gt;"")),OR(O512="(specify here)",O512=""))</formula>
    </cfRule>
  </conditionalFormatting>
  <conditionalFormatting sqref="O515:AA515">
    <cfRule type="expression" dxfId="79" priority="10">
      <formula>AND(OR(AND(NOT(AC515="N/A"),AH515&lt;&gt;""),AND(NOT(AC516="N/A"),AH516&lt;&gt;""),AND(NOT(AC517="N/A"),AH517&lt;&gt;"")),OR(O515="(specify here)",O515=""))</formula>
    </cfRule>
  </conditionalFormatting>
  <conditionalFormatting sqref="O518:AA518">
    <cfRule type="expression" dxfId="78" priority="9">
      <formula>AND(OR(AND(NOT(AC518="N/A"),AH518&lt;&gt;""),AND(NOT(AC519="N/A"),AH519&lt;&gt;""),AND(NOT(AC520="N/A"),AH520&lt;&gt;"")),OR(O518="(specify here)",O518=""))</formula>
    </cfRule>
  </conditionalFormatting>
  <conditionalFormatting sqref="O521:AA521">
    <cfRule type="expression" dxfId="77" priority="8">
      <formula>AND(OR(AND(NOT(AC521="N/A"),AH521&lt;&gt;""),AND(NOT(AC522="N/A"),AH522&lt;&gt;""),AND(NOT(AC523="N/A"),AH523&lt;&gt;"")),OR(O521="(specify here)",O521=""))</formula>
    </cfRule>
  </conditionalFormatting>
  <conditionalFormatting sqref="O524:AA524">
    <cfRule type="expression" dxfId="76" priority="7">
      <formula>AND(OR(AND(NOT(AC524="N/A"),AH524&lt;&gt;""),AND(NOT(AC525="N/A"),AH525&lt;&gt;""),AND(NOT(AC526="N/A"),AH526&lt;&gt;"")),OR(O524="(specify here)",O524=""))</formula>
    </cfRule>
  </conditionalFormatting>
  <conditionalFormatting sqref="O527:AA527">
    <cfRule type="expression" dxfId="75" priority="6">
      <formula>AND(OR(AND(NOT(AC527="N/A"),AH527&lt;&gt;""),AND(NOT(AC528="N/A"),AH528&lt;&gt;""),AND(NOT(AC529="N/A"),AH529&lt;&gt;"")),OR(O527="(specify here)",O527=""))</formula>
    </cfRule>
  </conditionalFormatting>
  <conditionalFormatting sqref="P780:Y780">
    <cfRule type="expression" dxfId="74" priority="21">
      <formula>AND(Z780&lt;&gt;"",OR(P780="(specify here)",P780=""))</formula>
    </cfRule>
  </conditionalFormatting>
  <conditionalFormatting sqref="U720">
    <cfRule type="expression" dxfId="73" priority="2">
      <formula>NOT($D$214="Special Needs")</formula>
    </cfRule>
  </conditionalFormatting>
  <conditionalFormatting sqref="W922:AG922">
    <cfRule type="expression" dxfId="72" priority="11">
      <formula>AND($AA$923&lt;&gt;"",OR($W$922="",$W$922="(specify here)"))</formula>
    </cfRule>
  </conditionalFormatting>
  <conditionalFormatting sqref="AC215:AG215">
    <cfRule type="expression" dxfId="71" priority="35">
      <formula>NOT($D$214="Special Needs")</formula>
    </cfRule>
  </conditionalFormatting>
  <conditionalFormatting sqref="AC218:AN218">
    <cfRule type="expression" dxfId="70" priority="32">
      <formula>NOT(OR($D$214="Seniors",$E$217="Seniors"))</formula>
    </cfRule>
  </conditionalFormatting>
  <conditionalFormatting sqref="AC219:AN219">
    <cfRule type="expression" dxfId="69" priority="29">
      <formula>NOT($D$214="At-Risk")</formula>
    </cfRule>
  </conditionalFormatting>
  <conditionalFormatting sqref="AF964">
    <cfRule type="cellIs" dxfId="68" priority="39" stopIfTrue="1" operator="equal">
      <formula>"Please Enter Amount:"</formula>
    </cfRule>
  </conditionalFormatting>
  <conditionalFormatting sqref="AF969">
    <cfRule type="cellIs" dxfId="67" priority="37" stopIfTrue="1" operator="equal">
      <formula>"Please Enter Amount:"</formula>
    </cfRule>
  </conditionalFormatting>
  <conditionalFormatting sqref="AF976">
    <cfRule type="cellIs" dxfId="66" priority="38" stopIfTrue="1" operator="equal">
      <formula>"Please Enter Amount:"</formula>
    </cfRule>
  </conditionalFormatting>
  <conditionalFormatting sqref="AG434:AJ434">
    <cfRule type="expression" dxfId="65" priority="45" stopIfTrue="1">
      <formula>"iserror(d31)"</formula>
    </cfRule>
  </conditionalFormatting>
  <conditionalFormatting sqref="AG720:AJ720">
    <cfRule type="expression" dxfId="6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J79" zoomScaleNormal="100" workbookViewId="0">
      <selection activeCell="S46" sqref="S46"/>
    </sheetView>
  </sheetViews>
  <sheetFormatPr defaultColWidth="8.85546875" defaultRowHeight="12" zeroHeight="1"/>
  <cols>
    <col min="1" max="1" width="32.5703125" style="495" customWidth="1"/>
    <col min="2" max="12" width="12.140625" style="493" customWidth="1"/>
    <col min="13" max="17" width="11.42578125" style="493" customWidth="1"/>
    <col min="18" max="18" width="12.5703125" style="493" customWidth="1"/>
    <col min="19" max="20" width="12.140625" style="493" customWidth="1"/>
    <col min="21" max="21" width="0.42578125" style="494" customWidth="1"/>
    <col min="22" max="16384" width="8.85546875" style="493"/>
  </cols>
  <sheetData>
    <row r="1" spans="1:21" s="200" customFormat="1" ht="13.5">
      <c r="A1" s="264" t="s">
        <v>141</v>
      </c>
      <c r="B1" s="227"/>
      <c r="C1" s="227"/>
      <c r="D1" s="227"/>
      <c r="E1" s="228"/>
      <c r="F1" s="1588" t="s">
        <v>195</v>
      </c>
      <c r="G1" s="1589"/>
      <c r="H1" s="1589"/>
      <c r="I1" s="1589"/>
      <c r="J1" s="1589"/>
      <c r="K1" s="1589"/>
      <c r="L1" s="1589"/>
      <c r="M1" s="1589"/>
      <c r="N1" s="1589"/>
      <c r="O1" s="1589"/>
      <c r="P1" s="1589"/>
      <c r="Q1" s="1589"/>
      <c r="R1" s="1590"/>
      <c r="S1" s="202"/>
      <c r="T1" s="201"/>
      <c r="U1" s="203"/>
    </row>
    <row r="2" spans="1:21" s="232" customFormat="1" ht="60" customHeight="1">
      <c r="A2" s="231"/>
      <c r="B2" s="232" t="s">
        <v>835</v>
      </c>
      <c r="C2" s="232" t="s">
        <v>538</v>
      </c>
      <c r="D2" s="232" t="s">
        <v>537</v>
      </c>
      <c r="E2" s="232" t="s">
        <v>836</v>
      </c>
      <c r="F2" s="233" t="str">
        <f>Application!B618&amp;Application!C618</f>
        <v>1)East West Bank</v>
      </c>
      <c r="G2" s="233" t="str">
        <f>Application!B619&amp;Application!C619</f>
        <v>2)DHI Guarantor, LLC</v>
      </c>
      <c r="H2" s="233" t="str">
        <f>Application!B620&amp;Application!C620</f>
        <v>3)Cash Flow From Operations</v>
      </c>
      <c r="I2" s="233" t="str">
        <f>Application!B621&amp;Application!C621</f>
        <v>4)Deferred Developer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2449000</v>
      </c>
      <c r="C4" s="241">
        <v>2449000</v>
      </c>
      <c r="D4" s="241"/>
      <c r="E4" s="241"/>
      <c r="F4" s="241">
        <f>C4</f>
        <v>2449000</v>
      </c>
      <c r="G4" s="241"/>
      <c r="H4" s="241"/>
      <c r="I4" s="241"/>
      <c r="J4" s="241"/>
      <c r="K4" s="241"/>
      <c r="L4" s="241"/>
      <c r="M4" s="241"/>
      <c r="N4" s="241"/>
      <c r="O4" s="241"/>
      <c r="P4" s="241"/>
      <c r="Q4" s="241"/>
      <c r="R4" s="241">
        <f>C4</f>
        <v>2449000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2449000</v>
      </c>
      <c r="C8" s="240">
        <f t="shared" ref="C8:R8" si="0">SUM(C4:C7)</f>
        <v>2449000</v>
      </c>
      <c r="D8" s="240">
        <f t="shared" si="0"/>
        <v>0</v>
      </c>
      <c r="E8" s="240">
        <f t="shared" si="0"/>
        <v>0</v>
      </c>
      <c r="F8" s="240">
        <f t="shared" si="0"/>
        <v>2449000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2449000</v>
      </c>
      <c r="S8" s="242"/>
      <c r="T8" s="242"/>
      <c r="U8" s="237"/>
    </row>
    <row r="9" spans="1:21" s="238" customFormat="1">
      <c r="A9" s="239" t="s">
        <v>1796</v>
      </c>
      <c r="B9" s="240">
        <f>SUM(C9+D9)</f>
        <v>22041000</v>
      </c>
      <c r="C9" s="241">
        <v>22041000</v>
      </c>
      <c r="D9" s="241"/>
      <c r="E9" s="241">
        <f>C9-F9-G9</f>
        <v>5720595</v>
      </c>
      <c r="F9" s="241">
        <f>F107-F4</f>
        <v>8526000</v>
      </c>
      <c r="G9" s="241">
        <f>G107</f>
        <v>7794405</v>
      </c>
      <c r="H9" s="241"/>
      <c r="I9" s="241"/>
      <c r="J9" s="241"/>
      <c r="K9" s="241"/>
      <c r="L9" s="241"/>
      <c r="M9" s="241"/>
      <c r="N9" s="241"/>
      <c r="O9" s="241"/>
      <c r="P9" s="241"/>
      <c r="Q9" s="241"/>
      <c r="R9" s="241">
        <f>C9</f>
        <v>22041000</v>
      </c>
      <c r="S9" s="242"/>
      <c r="T9" s="241">
        <f>R9</f>
        <v>22041000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v>0</v>
      </c>
      <c r="U10" s="237"/>
    </row>
    <row r="11" spans="1:21" s="238" customFormat="1">
      <c r="A11" s="243" t="s">
        <v>616</v>
      </c>
      <c r="B11" s="240">
        <f>SUM(C11:D11)</f>
        <v>22041000</v>
      </c>
      <c r="C11" s="240">
        <f t="shared" ref="C11:T11" si="1">SUM(C9:C10)</f>
        <v>22041000</v>
      </c>
      <c r="D11" s="240">
        <f t="shared" si="1"/>
        <v>0</v>
      </c>
      <c r="E11" s="240">
        <f t="shared" si="1"/>
        <v>5720595</v>
      </c>
      <c r="F11" s="240">
        <f t="shared" si="1"/>
        <v>8526000</v>
      </c>
      <c r="G11" s="240">
        <f t="shared" si="1"/>
        <v>7794405</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22041000</v>
      </c>
      <c r="S11" s="242"/>
      <c r="T11" s="240">
        <f t="shared" si="1"/>
        <v>22041000</v>
      </c>
      <c r="U11" s="237"/>
    </row>
    <row r="12" spans="1:21" s="238" customFormat="1">
      <c r="A12" s="243" t="s">
        <v>746</v>
      </c>
      <c r="B12" s="240">
        <f t="shared" ref="B12:R12" si="2">SUM(B8+B11)</f>
        <v>24490000</v>
      </c>
      <c r="C12" s="240">
        <f t="shared" si="2"/>
        <v>24490000</v>
      </c>
      <c r="D12" s="240">
        <f t="shared" si="2"/>
        <v>0</v>
      </c>
      <c r="E12" s="240">
        <f t="shared" si="2"/>
        <v>5720595</v>
      </c>
      <c r="F12" s="240">
        <f t="shared" si="2"/>
        <v>10975000</v>
      </c>
      <c r="G12" s="240">
        <f t="shared" si="2"/>
        <v>7794405</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24490000</v>
      </c>
      <c r="S12" s="242"/>
      <c r="T12" s="242"/>
      <c r="U12" s="237"/>
    </row>
    <row r="13" spans="1:21" s="238" customFormat="1">
      <c r="A13" s="467" t="s">
        <v>1156</v>
      </c>
      <c r="B13" s="240">
        <f>SUM(C13+D13)</f>
        <v>0</v>
      </c>
      <c r="C13" s="241"/>
      <c r="D13" s="241"/>
      <c r="E13" s="241"/>
      <c r="F13" s="241"/>
      <c r="G13" s="241"/>
      <c r="H13" s="241"/>
      <c r="I13" s="241"/>
      <c r="J13" s="241"/>
      <c r="K13" s="241"/>
      <c r="L13" s="241"/>
      <c r="M13" s="241"/>
      <c r="N13" s="241"/>
      <c r="O13" s="241"/>
      <c r="P13" s="241"/>
      <c r="Q13" s="241"/>
      <c r="R13" s="241">
        <f>SUM(E13:Q13)</f>
        <v>0</v>
      </c>
      <c r="S13" s="241">
        <v>0</v>
      </c>
      <c r="T13" s="241">
        <v>0</v>
      </c>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v>0</v>
      </c>
      <c r="T14" s="241">
        <v>0</v>
      </c>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v>0</v>
      </c>
      <c r="D17" s="241"/>
      <c r="E17" s="241"/>
      <c r="F17" s="241"/>
      <c r="G17" s="241"/>
      <c r="H17" s="241"/>
      <c r="I17" s="241"/>
      <c r="J17" s="241"/>
      <c r="K17" s="241"/>
      <c r="L17" s="241"/>
      <c r="M17" s="241"/>
      <c r="N17" s="241"/>
      <c r="O17" s="241"/>
      <c r="P17" s="241"/>
      <c r="Q17" s="241"/>
      <c r="R17" s="241">
        <f>SUM(E17:Q17)</f>
        <v>0</v>
      </c>
      <c r="S17" s="241">
        <f>R17</f>
        <v>0</v>
      </c>
      <c r="T17" s="241">
        <v>0</v>
      </c>
      <c r="U17" s="237"/>
    </row>
    <row r="18" spans="1:21" s="238" customFormat="1">
      <c r="A18" s="239" t="s">
        <v>954</v>
      </c>
      <c r="B18" s="240">
        <f t="shared" si="3"/>
        <v>10950000</v>
      </c>
      <c r="C18" s="241">
        <v>10950000</v>
      </c>
      <c r="D18" s="241"/>
      <c r="E18" s="241">
        <f>C18</f>
        <v>10950000</v>
      </c>
      <c r="F18" s="241"/>
      <c r="G18" s="241"/>
      <c r="H18" s="241"/>
      <c r="I18" s="241"/>
      <c r="J18" s="241"/>
      <c r="K18" s="241"/>
      <c r="L18" s="241"/>
      <c r="M18" s="241"/>
      <c r="N18" s="241"/>
      <c r="O18" s="241"/>
      <c r="P18" s="241"/>
      <c r="Q18" s="241"/>
      <c r="R18" s="241">
        <f>SUM(E18:Q18)</f>
        <v>10950000</v>
      </c>
      <c r="S18" s="241">
        <f t="shared" ref="S18:S25" si="4">R18</f>
        <v>10950000</v>
      </c>
      <c r="T18" s="241">
        <v>0</v>
      </c>
      <c r="U18" s="237"/>
    </row>
    <row r="19" spans="1:21" s="238" customFormat="1">
      <c r="A19" s="239" t="s">
        <v>955</v>
      </c>
      <c r="B19" s="240">
        <f t="shared" si="3"/>
        <v>657000</v>
      </c>
      <c r="C19" s="241">
        <v>657000</v>
      </c>
      <c r="D19" s="241"/>
      <c r="E19" s="241">
        <f t="shared" ref="E19:E25" si="5">C19</f>
        <v>657000</v>
      </c>
      <c r="F19" s="241"/>
      <c r="G19" s="241"/>
      <c r="H19" s="241"/>
      <c r="I19" s="241"/>
      <c r="J19" s="241"/>
      <c r="K19" s="241"/>
      <c r="L19" s="241"/>
      <c r="M19" s="241"/>
      <c r="N19" s="241"/>
      <c r="O19" s="241"/>
      <c r="P19" s="241"/>
      <c r="Q19" s="241"/>
      <c r="R19" s="241">
        <f>SUM(E19:Q19)</f>
        <v>657000</v>
      </c>
      <c r="S19" s="241">
        <f t="shared" si="4"/>
        <v>657000</v>
      </c>
      <c r="T19" s="241">
        <v>0</v>
      </c>
      <c r="U19" s="237"/>
    </row>
    <row r="20" spans="1:21" s="238" customFormat="1">
      <c r="A20" s="239" t="s">
        <v>956</v>
      </c>
      <c r="B20" s="240">
        <f t="shared" si="3"/>
        <v>219000</v>
      </c>
      <c r="C20" s="241">
        <v>219000</v>
      </c>
      <c r="D20" s="241"/>
      <c r="E20" s="241">
        <f t="shared" si="5"/>
        <v>219000</v>
      </c>
      <c r="F20" s="241"/>
      <c r="G20" s="241"/>
      <c r="H20" s="241"/>
      <c r="I20" s="241"/>
      <c r="J20" s="241"/>
      <c r="K20" s="241"/>
      <c r="L20" s="241"/>
      <c r="M20" s="241"/>
      <c r="N20" s="241"/>
      <c r="O20" s="241"/>
      <c r="P20" s="241"/>
      <c r="Q20" s="241"/>
      <c r="R20" s="241">
        <f t="shared" ref="R20:R27" si="6">SUM(E20:Q20)</f>
        <v>219000</v>
      </c>
      <c r="S20" s="241">
        <f t="shared" si="4"/>
        <v>219000</v>
      </c>
      <c r="T20" s="241">
        <v>0</v>
      </c>
      <c r="U20" s="237"/>
    </row>
    <row r="21" spans="1:21" s="238" customFormat="1">
      <c r="A21" s="239" t="s">
        <v>957</v>
      </c>
      <c r="B21" s="240">
        <f t="shared" si="3"/>
        <v>657000</v>
      </c>
      <c r="C21" s="241">
        <v>657000</v>
      </c>
      <c r="D21" s="241"/>
      <c r="E21" s="241">
        <f t="shared" si="5"/>
        <v>657000</v>
      </c>
      <c r="F21" s="241"/>
      <c r="G21" s="241"/>
      <c r="H21" s="241"/>
      <c r="I21" s="241"/>
      <c r="J21" s="241"/>
      <c r="K21" s="241"/>
      <c r="L21" s="241"/>
      <c r="M21" s="241"/>
      <c r="N21" s="241"/>
      <c r="O21" s="241"/>
      <c r="P21" s="241"/>
      <c r="Q21" s="241"/>
      <c r="R21" s="241">
        <f t="shared" si="6"/>
        <v>657000</v>
      </c>
      <c r="S21" s="241">
        <f t="shared" si="4"/>
        <v>657000</v>
      </c>
      <c r="T21" s="241">
        <v>0</v>
      </c>
      <c r="U21" s="237"/>
    </row>
    <row r="22" spans="1:21" s="238" customFormat="1">
      <c r="A22" s="239" t="s">
        <v>958</v>
      </c>
      <c r="B22" s="240">
        <f t="shared" si="3"/>
        <v>0</v>
      </c>
      <c r="C22" s="241">
        <v>0</v>
      </c>
      <c r="D22" s="241"/>
      <c r="E22" s="241">
        <f t="shared" si="5"/>
        <v>0</v>
      </c>
      <c r="F22" s="241"/>
      <c r="G22" s="241"/>
      <c r="H22" s="241"/>
      <c r="I22" s="241"/>
      <c r="J22" s="241"/>
      <c r="K22" s="241"/>
      <c r="L22" s="241"/>
      <c r="M22" s="241"/>
      <c r="N22" s="241"/>
      <c r="O22" s="241"/>
      <c r="P22" s="241"/>
      <c r="Q22" s="241"/>
      <c r="R22" s="241">
        <f t="shared" si="6"/>
        <v>0</v>
      </c>
      <c r="S22" s="241">
        <f t="shared" si="4"/>
        <v>0</v>
      </c>
      <c r="T22" s="241">
        <v>0</v>
      </c>
      <c r="U22" s="237"/>
    </row>
    <row r="23" spans="1:21" s="238" customFormat="1">
      <c r="A23" s="239" t="s">
        <v>959</v>
      </c>
      <c r="B23" s="240">
        <f t="shared" si="3"/>
        <v>124830</v>
      </c>
      <c r="C23" s="241">
        <v>124830</v>
      </c>
      <c r="D23" s="241"/>
      <c r="E23" s="241">
        <f t="shared" si="5"/>
        <v>124830</v>
      </c>
      <c r="F23" s="241"/>
      <c r="G23" s="241"/>
      <c r="H23" s="241"/>
      <c r="I23" s="241"/>
      <c r="J23" s="241"/>
      <c r="K23" s="241"/>
      <c r="L23" s="241"/>
      <c r="M23" s="241"/>
      <c r="N23" s="241"/>
      <c r="O23" s="241"/>
      <c r="P23" s="241"/>
      <c r="Q23" s="241"/>
      <c r="R23" s="241">
        <f t="shared" si="6"/>
        <v>124830</v>
      </c>
      <c r="S23" s="241">
        <f t="shared" si="4"/>
        <v>124830</v>
      </c>
      <c r="T23" s="241">
        <v>0</v>
      </c>
      <c r="U23" s="237"/>
    </row>
    <row r="24" spans="1:21" s="238" customFormat="1">
      <c r="A24" s="250" t="s">
        <v>2051</v>
      </c>
      <c r="B24" s="240">
        <f t="shared" si="3"/>
        <v>0</v>
      </c>
      <c r="C24" s="241">
        <v>0</v>
      </c>
      <c r="D24" s="241"/>
      <c r="E24" s="241">
        <f t="shared" si="5"/>
        <v>0</v>
      </c>
      <c r="F24" s="241"/>
      <c r="G24" s="241"/>
      <c r="H24" s="241"/>
      <c r="I24" s="241"/>
      <c r="J24" s="241"/>
      <c r="K24" s="241"/>
      <c r="L24" s="241"/>
      <c r="M24" s="241"/>
      <c r="N24" s="241"/>
      <c r="O24" s="241"/>
      <c r="P24" s="241"/>
      <c r="Q24" s="241"/>
      <c r="R24" s="241">
        <f t="shared" si="6"/>
        <v>0</v>
      </c>
      <c r="S24" s="241">
        <f t="shared" si="4"/>
        <v>0</v>
      </c>
      <c r="T24" s="241">
        <v>0</v>
      </c>
      <c r="U24" s="237"/>
    </row>
    <row r="25" spans="1:21" s="238" customFormat="1">
      <c r="A25" s="246" t="s">
        <v>2451</v>
      </c>
      <c r="B25" s="240">
        <f t="shared" si="3"/>
        <v>124830</v>
      </c>
      <c r="C25" s="241">
        <v>124830</v>
      </c>
      <c r="D25" s="241"/>
      <c r="E25" s="241">
        <f t="shared" si="5"/>
        <v>124830</v>
      </c>
      <c r="F25" s="241"/>
      <c r="G25" s="241"/>
      <c r="H25" s="241"/>
      <c r="I25" s="241"/>
      <c r="J25" s="241"/>
      <c r="K25" s="241"/>
      <c r="L25" s="241"/>
      <c r="M25" s="241"/>
      <c r="N25" s="241"/>
      <c r="O25" s="241"/>
      <c r="P25" s="241"/>
      <c r="Q25" s="241"/>
      <c r="R25" s="241">
        <f t="shared" si="6"/>
        <v>124830</v>
      </c>
      <c r="S25" s="241">
        <f t="shared" si="4"/>
        <v>124830</v>
      </c>
      <c r="T25" s="241">
        <v>0</v>
      </c>
      <c r="U25" s="237"/>
    </row>
    <row r="26" spans="1:21" s="238" customFormat="1">
      <c r="A26" s="243" t="s">
        <v>237</v>
      </c>
      <c r="B26" s="240">
        <f t="shared" si="3"/>
        <v>12732660</v>
      </c>
      <c r="C26" s="240">
        <f>SUM(C17:C25)</f>
        <v>12732660</v>
      </c>
      <c r="D26" s="240">
        <f>SUM(D17:D25)</f>
        <v>0</v>
      </c>
      <c r="E26" s="240">
        <f>SUM(E17:E25)</f>
        <v>12732660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12732660</v>
      </c>
      <c r="S26" s="244">
        <f t="shared" si="7"/>
        <v>12732660</v>
      </c>
      <c r="T26" s="244">
        <f t="shared" si="7"/>
        <v>0</v>
      </c>
      <c r="U26" s="237"/>
    </row>
    <row r="27" spans="1:21" s="238" customFormat="1">
      <c r="A27" s="243" t="s">
        <v>960</v>
      </c>
      <c r="B27" s="240">
        <f t="shared" si="3"/>
        <v>730000</v>
      </c>
      <c r="C27" s="241">
        <v>730000</v>
      </c>
      <c r="D27" s="241"/>
      <c r="E27" s="241">
        <f>C27-H27</f>
        <v>730000</v>
      </c>
      <c r="F27" s="241"/>
      <c r="G27" s="241"/>
      <c r="H27" s="241"/>
      <c r="I27" s="241"/>
      <c r="J27" s="241"/>
      <c r="K27" s="241"/>
      <c r="L27" s="241"/>
      <c r="M27" s="241"/>
      <c r="N27" s="241"/>
      <c r="O27" s="241"/>
      <c r="P27" s="241"/>
      <c r="Q27" s="241"/>
      <c r="R27" s="241">
        <f t="shared" si="6"/>
        <v>730000</v>
      </c>
      <c r="S27" s="241">
        <v>657000</v>
      </c>
      <c r="T27" s="241">
        <v>0</v>
      </c>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f>R29</f>
        <v>0</v>
      </c>
      <c r="T29" s="241">
        <v>0</v>
      </c>
      <c r="U29" s="237"/>
    </row>
    <row r="30" spans="1:21" s="238" customFormat="1">
      <c r="A30" s="239" t="s">
        <v>954</v>
      </c>
      <c r="B30" s="240">
        <f t="shared" si="8"/>
        <v>0</v>
      </c>
      <c r="C30" s="241"/>
      <c r="D30" s="241"/>
      <c r="E30" s="241"/>
      <c r="F30" s="241"/>
      <c r="G30" s="241"/>
      <c r="H30" s="241"/>
      <c r="I30" s="241"/>
      <c r="J30" s="241"/>
      <c r="K30" s="241"/>
      <c r="L30" s="241"/>
      <c r="M30" s="241"/>
      <c r="N30" s="241"/>
      <c r="O30" s="241"/>
      <c r="P30" s="241"/>
      <c r="Q30" s="241"/>
      <c r="R30" s="241">
        <f t="shared" si="9"/>
        <v>0</v>
      </c>
      <c r="S30" s="241">
        <f t="shared" ref="S30:S37" si="10">R30</f>
        <v>0</v>
      </c>
      <c r="T30" s="241">
        <v>0</v>
      </c>
      <c r="U30" s="237"/>
    </row>
    <row r="31" spans="1:21" s="238" customFormat="1">
      <c r="A31" s="239" t="s">
        <v>955</v>
      </c>
      <c r="B31" s="240">
        <f t="shared" si="8"/>
        <v>0</v>
      </c>
      <c r="C31" s="241"/>
      <c r="D31" s="241"/>
      <c r="E31" s="241"/>
      <c r="F31" s="241"/>
      <c r="G31" s="241"/>
      <c r="H31" s="241"/>
      <c r="I31" s="241"/>
      <c r="J31" s="241"/>
      <c r="K31" s="241"/>
      <c r="L31" s="241"/>
      <c r="M31" s="241"/>
      <c r="N31" s="241"/>
      <c r="O31" s="241"/>
      <c r="P31" s="241"/>
      <c r="Q31" s="241"/>
      <c r="R31" s="241">
        <f t="shared" si="9"/>
        <v>0</v>
      </c>
      <c r="S31" s="241">
        <f t="shared" si="10"/>
        <v>0</v>
      </c>
      <c r="T31" s="241">
        <v>0</v>
      </c>
      <c r="U31" s="237"/>
    </row>
    <row r="32" spans="1:21" s="238" customFormat="1">
      <c r="A32" s="239" t="s">
        <v>956</v>
      </c>
      <c r="B32" s="240">
        <f t="shared" si="8"/>
        <v>0</v>
      </c>
      <c r="C32" s="241"/>
      <c r="D32" s="241"/>
      <c r="E32" s="241"/>
      <c r="F32" s="241"/>
      <c r="G32" s="241"/>
      <c r="H32" s="241"/>
      <c r="I32" s="241"/>
      <c r="J32" s="241"/>
      <c r="K32" s="241"/>
      <c r="L32" s="241"/>
      <c r="M32" s="241"/>
      <c r="N32" s="241"/>
      <c r="O32" s="241"/>
      <c r="P32" s="241"/>
      <c r="Q32" s="241"/>
      <c r="R32" s="241">
        <f t="shared" si="9"/>
        <v>0</v>
      </c>
      <c r="S32" s="241">
        <f t="shared" si="10"/>
        <v>0</v>
      </c>
      <c r="T32" s="241">
        <v>0</v>
      </c>
      <c r="U32" s="237"/>
    </row>
    <row r="33" spans="1:21" s="238" customFormat="1">
      <c r="A33" s="239" t="s">
        <v>957</v>
      </c>
      <c r="B33" s="240">
        <f t="shared" si="8"/>
        <v>0</v>
      </c>
      <c r="C33" s="241"/>
      <c r="D33" s="241"/>
      <c r="E33" s="241"/>
      <c r="F33" s="241"/>
      <c r="G33" s="241"/>
      <c r="H33" s="241"/>
      <c r="I33" s="241"/>
      <c r="J33" s="241"/>
      <c r="K33" s="241"/>
      <c r="L33" s="241"/>
      <c r="M33" s="241"/>
      <c r="N33" s="241"/>
      <c r="O33" s="241"/>
      <c r="P33" s="241"/>
      <c r="Q33" s="241"/>
      <c r="R33" s="241">
        <f t="shared" si="9"/>
        <v>0</v>
      </c>
      <c r="S33" s="241">
        <f t="shared" si="10"/>
        <v>0</v>
      </c>
      <c r="T33" s="241">
        <v>0</v>
      </c>
      <c r="U33" s="237"/>
    </row>
    <row r="34" spans="1:21" s="238" customFormat="1">
      <c r="A34" s="239" t="s">
        <v>958</v>
      </c>
      <c r="B34" s="240">
        <f t="shared" si="8"/>
        <v>0</v>
      </c>
      <c r="C34" s="241"/>
      <c r="D34" s="241"/>
      <c r="E34" s="241"/>
      <c r="F34" s="241"/>
      <c r="G34" s="241"/>
      <c r="H34" s="241"/>
      <c r="I34" s="241"/>
      <c r="J34" s="241"/>
      <c r="K34" s="241"/>
      <c r="L34" s="241"/>
      <c r="M34" s="241"/>
      <c r="N34" s="241"/>
      <c r="O34" s="241"/>
      <c r="P34" s="241"/>
      <c r="Q34" s="241"/>
      <c r="R34" s="241">
        <f t="shared" si="9"/>
        <v>0</v>
      </c>
      <c r="S34" s="241">
        <f t="shared" si="10"/>
        <v>0</v>
      </c>
      <c r="T34" s="241">
        <v>0</v>
      </c>
      <c r="U34" s="237"/>
    </row>
    <row r="35" spans="1:21" s="238" customFormat="1">
      <c r="A35" s="239" t="s">
        <v>959</v>
      </c>
      <c r="B35" s="240">
        <f t="shared" si="8"/>
        <v>0</v>
      </c>
      <c r="C35" s="241"/>
      <c r="D35" s="241"/>
      <c r="E35" s="241"/>
      <c r="F35" s="241"/>
      <c r="G35" s="241"/>
      <c r="H35" s="241"/>
      <c r="I35" s="241"/>
      <c r="J35" s="241"/>
      <c r="K35" s="241"/>
      <c r="L35" s="241"/>
      <c r="M35" s="241"/>
      <c r="N35" s="241"/>
      <c r="O35" s="241"/>
      <c r="P35" s="241"/>
      <c r="Q35" s="241"/>
      <c r="R35" s="241">
        <f t="shared" si="9"/>
        <v>0</v>
      </c>
      <c r="S35" s="241">
        <f t="shared" si="10"/>
        <v>0</v>
      </c>
      <c r="T35" s="241">
        <v>0</v>
      </c>
      <c r="U35" s="237"/>
    </row>
    <row r="36" spans="1:21" s="238" customFormat="1">
      <c r="A36" s="250" t="s">
        <v>2051</v>
      </c>
      <c r="B36" s="240">
        <f t="shared" si="8"/>
        <v>0</v>
      </c>
      <c r="C36" s="241"/>
      <c r="D36" s="241"/>
      <c r="E36" s="241"/>
      <c r="F36" s="241"/>
      <c r="G36" s="241"/>
      <c r="H36" s="241"/>
      <c r="I36" s="241"/>
      <c r="J36" s="241"/>
      <c r="K36" s="241"/>
      <c r="L36" s="241"/>
      <c r="M36" s="241"/>
      <c r="N36" s="241"/>
      <c r="O36" s="241"/>
      <c r="P36" s="241"/>
      <c r="Q36" s="241"/>
      <c r="R36" s="241">
        <f t="shared" si="9"/>
        <v>0</v>
      </c>
      <c r="S36" s="241">
        <f t="shared" si="10"/>
        <v>0</v>
      </c>
      <c r="T36" s="241">
        <v>0</v>
      </c>
      <c r="U36" s="237"/>
    </row>
    <row r="37" spans="1:21" s="238" customFormat="1">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f t="shared" si="10"/>
        <v>0</v>
      </c>
      <c r="T37" s="241">
        <v>0</v>
      </c>
      <c r="U37" s="237"/>
    </row>
    <row r="38" spans="1:21" s="238" customFormat="1">
      <c r="A38" s="243" t="s">
        <v>962</v>
      </c>
      <c r="B38" s="240">
        <f t="shared" si="8"/>
        <v>0</v>
      </c>
      <c r="C38" s="240">
        <f>SUM(C29:C37)</f>
        <v>0</v>
      </c>
      <c r="D38" s="240">
        <f>SUM(D29:D37)</f>
        <v>0</v>
      </c>
      <c r="E38" s="240">
        <f>SUM(E29:E37)</f>
        <v>0</v>
      </c>
      <c r="F38" s="240">
        <f t="shared" ref="F38:T38" si="11">SUM(F29:F37)</f>
        <v>0</v>
      </c>
      <c r="G38" s="240">
        <f t="shared" si="11"/>
        <v>0</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0</v>
      </c>
      <c r="S38" s="244">
        <f t="shared" si="11"/>
        <v>0</v>
      </c>
      <c r="T38" s="244">
        <f t="shared" si="11"/>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175000</v>
      </c>
      <c r="C40" s="241">
        <v>175000</v>
      </c>
      <c r="D40" s="241"/>
      <c r="E40" s="241">
        <f>C40</f>
        <v>175000</v>
      </c>
      <c r="F40" s="241"/>
      <c r="G40" s="241"/>
      <c r="H40" s="241"/>
      <c r="I40" s="241"/>
      <c r="J40" s="241"/>
      <c r="K40" s="241"/>
      <c r="L40" s="241"/>
      <c r="M40" s="241"/>
      <c r="N40" s="241"/>
      <c r="O40" s="241"/>
      <c r="P40" s="241"/>
      <c r="Q40" s="241"/>
      <c r="R40" s="241">
        <f>SUM(E40:Q40)</f>
        <v>175000</v>
      </c>
      <c r="S40" s="241">
        <f>R40</f>
        <v>175000</v>
      </c>
      <c r="T40" s="241">
        <v>0</v>
      </c>
      <c r="U40" s="237"/>
    </row>
    <row r="41" spans="1:21" s="238" customFormat="1">
      <c r="A41" s="239" t="s">
        <v>965</v>
      </c>
      <c r="B41" s="240">
        <f>SUM(C41+D41)</f>
        <v>50000</v>
      </c>
      <c r="C41" s="241">
        <v>50000</v>
      </c>
      <c r="D41" s="241"/>
      <c r="E41" s="241">
        <f>C41</f>
        <v>50000</v>
      </c>
      <c r="F41" s="241"/>
      <c r="G41" s="241"/>
      <c r="H41" s="241"/>
      <c r="I41" s="241"/>
      <c r="J41" s="241"/>
      <c r="K41" s="241"/>
      <c r="L41" s="241"/>
      <c r="M41" s="241"/>
      <c r="N41" s="241"/>
      <c r="O41" s="241"/>
      <c r="P41" s="241"/>
      <c r="Q41" s="241"/>
      <c r="R41" s="241">
        <f>SUM(E41:Q41)</f>
        <v>50000</v>
      </c>
      <c r="S41" s="241">
        <f>R41</f>
        <v>50000</v>
      </c>
      <c r="T41" s="241">
        <v>0</v>
      </c>
      <c r="U41" s="237"/>
    </row>
    <row r="42" spans="1:21" s="238" customFormat="1">
      <c r="A42" s="243" t="s">
        <v>966</v>
      </c>
      <c r="B42" s="240">
        <f>SUM(C42:D42)</f>
        <v>225000</v>
      </c>
      <c r="C42" s="240">
        <f>SUM(C39:C41)</f>
        <v>225000</v>
      </c>
      <c r="D42" s="240">
        <f>SUM(D39:D41)</f>
        <v>0</v>
      </c>
      <c r="E42" s="240">
        <f t="shared" ref="E42:T42" si="12">SUM(E40:E41)</f>
        <v>225000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225000</v>
      </c>
      <c r="S42" s="244">
        <f t="shared" si="12"/>
        <v>225000</v>
      </c>
      <c r="T42" s="244">
        <f t="shared" si="12"/>
        <v>0</v>
      </c>
      <c r="U42" s="237"/>
    </row>
    <row r="43" spans="1:21" s="238" customFormat="1">
      <c r="A43" s="243" t="s">
        <v>967</v>
      </c>
      <c r="B43" s="240">
        <f>SUM(C43:D43)</f>
        <v>100000</v>
      </c>
      <c r="C43" s="241">
        <v>100000</v>
      </c>
      <c r="D43" s="241"/>
      <c r="E43" s="241">
        <f>C43</f>
        <v>100000</v>
      </c>
      <c r="F43" s="241">
        <v>0</v>
      </c>
      <c r="G43" s="241"/>
      <c r="H43" s="241"/>
      <c r="I43" s="241"/>
      <c r="J43" s="241"/>
      <c r="K43" s="241"/>
      <c r="L43" s="241"/>
      <c r="M43" s="241"/>
      <c r="N43" s="241"/>
      <c r="O43" s="241"/>
      <c r="P43" s="241"/>
      <c r="Q43" s="241"/>
      <c r="R43" s="241">
        <f>SUM(E43:Q43)</f>
        <v>100000</v>
      </c>
      <c r="S43" s="241">
        <f>R43</f>
        <v>100000</v>
      </c>
      <c r="T43" s="241">
        <v>0</v>
      </c>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3">SUM(C45+D45)</f>
        <v>1162495</v>
      </c>
      <c r="C45" s="241">
        <v>1162495</v>
      </c>
      <c r="D45" s="241"/>
      <c r="E45" s="241">
        <f>C45-H45</f>
        <v>300608</v>
      </c>
      <c r="F45" s="241"/>
      <c r="G45" s="241"/>
      <c r="H45" s="241">
        <f>H107</f>
        <v>861887</v>
      </c>
      <c r="I45" s="241"/>
      <c r="J45" s="241"/>
      <c r="K45" s="241"/>
      <c r="L45" s="241"/>
      <c r="M45" s="241"/>
      <c r="N45" s="241"/>
      <c r="O45" s="241"/>
      <c r="P45" s="241"/>
      <c r="Q45" s="241"/>
      <c r="R45" s="241">
        <f t="shared" ref="R45:R52" si="14">SUM(E45:Q45)</f>
        <v>1162495</v>
      </c>
      <c r="S45" s="241">
        <f>641724*0+639372</f>
        <v>639372</v>
      </c>
      <c r="T45" s="241">
        <v>0</v>
      </c>
      <c r="U45" s="237"/>
    </row>
    <row r="46" spans="1:21" s="238" customFormat="1">
      <c r="A46" s="239" t="s">
        <v>970</v>
      </c>
      <c r="B46" s="240">
        <f t="shared" si="13"/>
        <v>185000</v>
      </c>
      <c r="C46" s="241">
        <v>185000</v>
      </c>
      <c r="D46" s="241"/>
      <c r="E46" s="241">
        <f>C46</f>
        <v>185000</v>
      </c>
      <c r="F46" s="241"/>
      <c r="G46" s="241"/>
      <c r="H46" s="241"/>
      <c r="I46" s="241"/>
      <c r="J46" s="241"/>
      <c r="K46" s="241"/>
      <c r="L46" s="241"/>
      <c r="M46" s="241"/>
      <c r="N46" s="241"/>
      <c r="O46" s="241"/>
      <c r="P46" s="241"/>
      <c r="Q46" s="241"/>
      <c r="R46" s="241">
        <f t="shared" si="14"/>
        <v>185000</v>
      </c>
      <c r="S46" s="241">
        <v>185000</v>
      </c>
      <c r="T46" s="241">
        <v>0</v>
      </c>
      <c r="U46" s="237"/>
    </row>
    <row r="47" spans="1:21" s="238" customFormat="1" ht="12" customHeight="1">
      <c r="A47" s="239" t="s">
        <v>971</v>
      </c>
      <c r="B47" s="240">
        <f t="shared" si="13"/>
        <v>20000</v>
      </c>
      <c r="C47" s="241">
        <v>20000</v>
      </c>
      <c r="D47" s="241"/>
      <c r="E47" s="241">
        <f t="shared" ref="E47:E52" si="15">C47</f>
        <v>20000</v>
      </c>
      <c r="F47" s="241"/>
      <c r="G47" s="241"/>
      <c r="H47" s="241"/>
      <c r="I47" s="241"/>
      <c r="J47" s="241"/>
      <c r="K47" s="241"/>
      <c r="L47" s="241"/>
      <c r="M47" s="241"/>
      <c r="N47" s="241"/>
      <c r="O47" s="241"/>
      <c r="P47" s="241"/>
      <c r="Q47" s="241"/>
      <c r="R47" s="241">
        <f t="shared" si="14"/>
        <v>20000</v>
      </c>
      <c r="S47" s="241">
        <v>20000</v>
      </c>
      <c r="T47" s="241">
        <v>0</v>
      </c>
      <c r="U47" s="237"/>
    </row>
    <row r="48" spans="1:21" s="238" customFormat="1">
      <c r="A48" s="239" t="s">
        <v>972</v>
      </c>
      <c r="B48" s="240">
        <f t="shared" si="13"/>
        <v>0</v>
      </c>
      <c r="C48" s="241">
        <v>0</v>
      </c>
      <c r="D48" s="241"/>
      <c r="E48" s="241">
        <f t="shared" si="15"/>
        <v>0</v>
      </c>
      <c r="F48" s="241"/>
      <c r="G48" s="241"/>
      <c r="H48" s="241"/>
      <c r="I48" s="241"/>
      <c r="J48" s="241"/>
      <c r="K48" s="241"/>
      <c r="L48" s="241"/>
      <c r="M48" s="241"/>
      <c r="N48" s="241"/>
      <c r="O48" s="241"/>
      <c r="P48" s="241"/>
      <c r="Q48" s="241"/>
      <c r="R48" s="241">
        <f t="shared" si="14"/>
        <v>0</v>
      </c>
      <c r="S48" s="241">
        <v>0</v>
      </c>
      <c r="T48" s="241">
        <v>0</v>
      </c>
      <c r="U48" s="237"/>
    </row>
    <row r="49" spans="1:21" s="238" customFormat="1">
      <c r="A49" s="239" t="s">
        <v>975</v>
      </c>
      <c r="B49" s="240">
        <f t="shared" si="13"/>
        <v>20000</v>
      </c>
      <c r="C49" s="241">
        <v>20000</v>
      </c>
      <c r="D49" s="241"/>
      <c r="E49" s="241">
        <f t="shared" si="15"/>
        <v>20000</v>
      </c>
      <c r="F49" s="241"/>
      <c r="G49" s="241"/>
      <c r="H49" s="241"/>
      <c r="I49" s="241"/>
      <c r="J49" s="241"/>
      <c r="K49" s="241"/>
      <c r="L49" s="241"/>
      <c r="M49" s="241"/>
      <c r="N49" s="241"/>
      <c r="O49" s="241"/>
      <c r="P49" s="241"/>
      <c r="Q49" s="241"/>
      <c r="R49" s="241">
        <f t="shared" si="14"/>
        <v>20000</v>
      </c>
      <c r="S49" s="241">
        <v>20000</v>
      </c>
      <c r="T49" s="241">
        <v>0</v>
      </c>
      <c r="U49" s="237"/>
    </row>
    <row r="50" spans="1:21" s="238" customFormat="1">
      <c r="A50" s="239" t="s">
        <v>973</v>
      </c>
      <c r="B50" s="240">
        <f t="shared" si="13"/>
        <v>0</v>
      </c>
      <c r="C50" s="241">
        <v>0</v>
      </c>
      <c r="D50" s="241"/>
      <c r="E50" s="241">
        <f t="shared" si="15"/>
        <v>0</v>
      </c>
      <c r="F50" s="241"/>
      <c r="G50" s="241"/>
      <c r="H50" s="241"/>
      <c r="I50" s="241"/>
      <c r="J50" s="241"/>
      <c r="K50" s="241"/>
      <c r="L50" s="241"/>
      <c r="M50" s="241"/>
      <c r="N50" s="241"/>
      <c r="O50" s="241"/>
      <c r="P50" s="241"/>
      <c r="Q50" s="241"/>
      <c r="R50" s="241">
        <f t="shared" si="14"/>
        <v>0</v>
      </c>
      <c r="S50" s="241">
        <v>0</v>
      </c>
      <c r="T50" s="241">
        <v>0</v>
      </c>
      <c r="U50" s="237"/>
    </row>
    <row r="51" spans="1:21" s="238" customFormat="1">
      <c r="A51" s="239" t="s">
        <v>974</v>
      </c>
      <c r="B51" s="240">
        <f t="shared" si="13"/>
        <v>0</v>
      </c>
      <c r="C51" s="241">
        <v>0</v>
      </c>
      <c r="D51" s="241"/>
      <c r="E51" s="241">
        <f t="shared" si="15"/>
        <v>0</v>
      </c>
      <c r="F51" s="241"/>
      <c r="G51" s="241"/>
      <c r="H51" s="241"/>
      <c r="I51" s="241"/>
      <c r="J51" s="241"/>
      <c r="K51" s="241"/>
      <c r="L51" s="241"/>
      <c r="M51" s="241"/>
      <c r="N51" s="241"/>
      <c r="O51" s="241"/>
      <c r="P51" s="241"/>
      <c r="Q51" s="241"/>
      <c r="R51" s="241">
        <f t="shared" si="14"/>
        <v>0</v>
      </c>
      <c r="S51" s="241">
        <v>0</v>
      </c>
      <c r="T51" s="241">
        <v>0</v>
      </c>
      <c r="U51" s="237"/>
    </row>
    <row r="52" spans="1:21" s="238" customFormat="1">
      <c r="A52" s="246" t="s">
        <v>2518</v>
      </c>
      <c r="B52" s="240">
        <f t="shared" si="13"/>
        <v>25000</v>
      </c>
      <c r="C52" s="241">
        <v>25000</v>
      </c>
      <c r="D52" s="241"/>
      <c r="E52" s="241">
        <f t="shared" si="15"/>
        <v>25000</v>
      </c>
      <c r="F52" s="241"/>
      <c r="G52" s="241"/>
      <c r="H52" s="241"/>
      <c r="I52" s="241"/>
      <c r="J52" s="241"/>
      <c r="K52" s="241"/>
      <c r="L52" s="241"/>
      <c r="M52" s="241"/>
      <c r="N52" s="241"/>
      <c r="O52" s="241"/>
      <c r="P52" s="241"/>
      <c r="Q52" s="241"/>
      <c r="R52" s="241">
        <f t="shared" si="14"/>
        <v>25000</v>
      </c>
      <c r="S52" s="241">
        <v>25000</v>
      </c>
      <c r="T52" s="241">
        <v>0</v>
      </c>
      <c r="U52" s="237"/>
    </row>
    <row r="53" spans="1:21" s="248" customFormat="1">
      <c r="A53" s="243" t="s">
        <v>976</v>
      </c>
      <c r="B53" s="244">
        <f>SUM(C53:D53)</f>
        <v>1412495</v>
      </c>
      <c r="C53" s="244">
        <f t="shared" ref="C53:T53" si="16">SUM(C45:C52)</f>
        <v>1412495</v>
      </c>
      <c r="D53" s="244">
        <f t="shared" si="16"/>
        <v>0</v>
      </c>
      <c r="E53" s="244">
        <f t="shared" si="16"/>
        <v>550608</v>
      </c>
      <c r="F53" s="244">
        <f t="shared" si="16"/>
        <v>0</v>
      </c>
      <c r="G53" s="244">
        <f t="shared" si="16"/>
        <v>0</v>
      </c>
      <c r="H53" s="244">
        <f t="shared" si="16"/>
        <v>861887</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1412495</v>
      </c>
      <c r="S53" s="244">
        <f t="shared" si="16"/>
        <v>889372</v>
      </c>
      <c r="T53" s="244">
        <f t="shared" si="16"/>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7">SUM(C55+D55)</f>
        <v>109750</v>
      </c>
      <c r="C55" s="241">
        <v>109750</v>
      </c>
      <c r="D55" s="241"/>
      <c r="E55" s="241">
        <f>C55</f>
        <v>109750</v>
      </c>
      <c r="F55" s="241"/>
      <c r="G55" s="241"/>
      <c r="H55" s="241"/>
      <c r="I55" s="241"/>
      <c r="J55" s="241"/>
      <c r="K55" s="241"/>
      <c r="L55" s="241"/>
      <c r="M55" s="241"/>
      <c r="N55" s="241"/>
      <c r="O55" s="241"/>
      <c r="P55" s="241"/>
      <c r="Q55" s="241"/>
      <c r="R55" s="241">
        <f t="shared" ref="R55:R60" si="18">SUM(E55:Q55)</f>
        <v>109750</v>
      </c>
      <c r="S55" s="242"/>
      <c r="T55" s="242"/>
      <c r="U55" s="237"/>
    </row>
    <row r="56" spans="1:21" s="238" customFormat="1" ht="12" customHeight="1">
      <c r="A56" s="239" t="s">
        <v>971</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975</v>
      </c>
      <c r="B57" s="240">
        <f t="shared" si="17"/>
        <v>0</v>
      </c>
      <c r="C57" s="241"/>
      <c r="D57" s="241"/>
      <c r="E57" s="241"/>
      <c r="F57" s="241"/>
      <c r="G57" s="241"/>
      <c r="H57" s="241"/>
      <c r="I57" s="241"/>
      <c r="J57" s="241"/>
      <c r="K57" s="241"/>
      <c r="L57" s="241"/>
      <c r="M57" s="241"/>
      <c r="N57" s="241"/>
      <c r="O57" s="241"/>
      <c r="P57" s="241"/>
      <c r="Q57" s="241"/>
      <c r="R57" s="241">
        <f t="shared" si="18"/>
        <v>0</v>
      </c>
      <c r="S57" s="242"/>
      <c r="T57" s="242"/>
      <c r="U57" s="237"/>
    </row>
    <row r="58" spans="1:21" s="238" customFormat="1">
      <c r="A58" s="239" t="s">
        <v>973</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974</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564</v>
      </c>
      <c r="B60" s="240">
        <f t="shared" si="17"/>
        <v>0</v>
      </c>
      <c r="C60" s="241"/>
      <c r="D60" s="241"/>
      <c r="E60" s="241"/>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529</v>
      </c>
      <c r="B61" s="240">
        <f>SUM(C61:D61)</f>
        <v>109750</v>
      </c>
      <c r="C61" s="240">
        <f t="shared" ref="C61:R61" si="19">SUM(C55:C60)</f>
        <v>109750</v>
      </c>
      <c r="D61" s="240">
        <f t="shared" si="19"/>
        <v>0</v>
      </c>
      <c r="E61" s="240">
        <f t="shared" si="19"/>
        <v>109750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109750</v>
      </c>
      <c r="S61" s="242"/>
      <c r="T61" s="242"/>
      <c r="U61" s="237"/>
    </row>
    <row r="62" spans="1:21" s="238" customFormat="1">
      <c r="A62" s="249" t="s">
        <v>530</v>
      </c>
      <c r="B62" s="240">
        <f>SUM(C62:D62)</f>
        <v>39799905</v>
      </c>
      <c r="C62" s="240">
        <f t="shared" ref="C62:R62" si="20">SUM(C8+C11+C13+C14+C15+C26+C27+C38+C42+C43+C53+C61)</f>
        <v>39799905</v>
      </c>
      <c r="D62" s="240">
        <f t="shared" si="20"/>
        <v>0</v>
      </c>
      <c r="E62" s="240">
        <f t="shared" si="20"/>
        <v>20168613</v>
      </c>
      <c r="F62" s="240">
        <f t="shared" si="20"/>
        <v>10975000</v>
      </c>
      <c r="G62" s="240">
        <f t="shared" si="20"/>
        <v>7794405</v>
      </c>
      <c r="H62" s="240">
        <f t="shared" si="20"/>
        <v>861887</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39799905</v>
      </c>
      <c r="S62" s="240">
        <f>SUM(S10+S13+S14+S15+S26+S27+S38+S42+S43+S53)</f>
        <v>14604032</v>
      </c>
      <c r="T62" s="240">
        <f>SUM(T11+T13+T14+T15+T26+T27+T38+T42+T43+T53)</f>
        <v>22041000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100000</v>
      </c>
      <c r="C64" s="241">
        <v>100000</v>
      </c>
      <c r="D64" s="241"/>
      <c r="E64" s="241">
        <f>C64</f>
        <v>100000</v>
      </c>
      <c r="F64" s="241"/>
      <c r="G64" s="241"/>
      <c r="H64" s="241"/>
      <c r="I64" s="241"/>
      <c r="J64" s="241"/>
      <c r="K64" s="241"/>
      <c r="L64" s="241"/>
      <c r="M64" s="241"/>
      <c r="N64" s="241"/>
      <c r="O64" s="241"/>
      <c r="P64" s="241"/>
      <c r="Q64" s="241"/>
      <c r="R64" s="241">
        <f>SUM(E64:Q64)</f>
        <v>100000</v>
      </c>
      <c r="S64" s="241">
        <f>R64*0.25</f>
        <v>25000</v>
      </c>
      <c r="T64" s="241">
        <v>0</v>
      </c>
      <c r="U64" s="237"/>
    </row>
    <row r="65" spans="1:21" s="238" customFormat="1" ht="24">
      <c r="A65" s="239" t="s">
        <v>2053</v>
      </c>
      <c r="B65" s="240">
        <f>SUM(C65+D65)</f>
        <v>0</v>
      </c>
      <c r="C65" s="241">
        <v>0</v>
      </c>
      <c r="D65" s="241"/>
      <c r="E65" s="241">
        <f t="shared" ref="E65:E68" si="21">C65</f>
        <v>0</v>
      </c>
      <c r="F65" s="241"/>
      <c r="G65" s="241"/>
      <c r="H65" s="241"/>
      <c r="I65" s="241"/>
      <c r="J65" s="241"/>
      <c r="K65" s="241"/>
      <c r="L65" s="241"/>
      <c r="M65" s="241"/>
      <c r="N65" s="241"/>
      <c r="O65" s="241"/>
      <c r="P65" s="241"/>
      <c r="Q65" s="241"/>
      <c r="R65" s="241">
        <f>SUM(E65:Q65)</f>
        <v>0</v>
      </c>
      <c r="S65" s="241">
        <v>0</v>
      </c>
      <c r="T65" s="241">
        <v>0</v>
      </c>
      <c r="U65" s="237"/>
    </row>
    <row r="66" spans="1:21" s="238" customFormat="1" ht="24">
      <c r="A66" s="239" t="s">
        <v>2054</v>
      </c>
      <c r="B66" s="240">
        <f>SUM(C66+D66)</f>
        <v>0</v>
      </c>
      <c r="C66" s="241">
        <v>0</v>
      </c>
      <c r="D66" s="241"/>
      <c r="E66" s="241">
        <f t="shared" si="21"/>
        <v>0</v>
      </c>
      <c r="F66" s="241"/>
      <c r="G66" s="241"/>
      <c r="H66" s="241"/>
      <c r="I66" s="241"/>
      <c r="J66" s="241"/>
      <c r="K66" s="241"/>
      <c r="L66" s="241"/>
      <c r="M66" s="241"/>
      <c r="N66" s="241"/>
      <c r="O66" s="241"/>
      <c r="P66" s="241"/>
      <c r="Q66" s="241"/>
      <c r="R66" s="241">
        <f>SUM(E66:Q66)</f>
        <v>0</v>
      </c>
      <c r="S66" s="241">
        <v>0</v>
      </c>
      <c r="T66" s="241">
        <v>0</v>
      </c>
      <c r="U66" s="237"/>
    </row>
    <row r="67" spans="1:21" s="238" customFormat="1">
      <c r="A67" s="239" t="s">
        <v>2055</v>
      </c>
      <c r="B67" s="240">
        <f>SUM(C67+D67)</f>
        <v>0</v>
      </c>
      <c r="C67" s="241">
        <v>0</v>
      </c>
      <c r="D67" s="241"/>
      <c r="E67" s="241">
        <f t="shared" si="21"/>
        <v>0</v>
      </c>
      <c r="F67" s="241"/>
      <c r="G67" s="241"/>
      <c r="H67" s="241"/>
      <c r="I67" s="241"/>
      <c r="J67" s="241"/>
      <c r="K67" s="241"/>
      <c r="L67" s="241"/>
      <c r="M67" s="241"/>
      <c r="N67" s="241"/>
      <c r="O67" s="241"/>
      <c r="P67" s="241"/>
      <c r="Q67" s="241"/>
      <c r="R67" s="241">
        <f>SUM(E67:Q67)</f>
        <v>0</v>
      </c>
      <c r="S67" s="241">
        <v>0</v>
      </c>
      <c r="T67" s="241">
        <v>0</v>
      </c>
      <c r="U67" s="237"/>
    </row>
    <row r="68" spans="1:21" s="238" customFormat="1">
      <c r="A68" s="246" t="s">
        <v>2452</v>
      </c>
      <c r="B68" s="240">
        <f>SUM(C68+D68)</f>
        <v>130000</v>
      </c>
      <c r="C68" s="241">
        <v>130000</v>
      </c>
      <c r="D68" s="241"/>
      <c r="E68" s="241">
        <f t="shared" si="21"/>
        <v>130000</v>
      </c>
      <c r="F68" s="241"/>
      <c r="G68" s="241"/>
      <c r="H68" s="241"/>
      <c r="I68" s="241"/>
      <c r="J68" s="241"/>
      <c r="K68" s="241"/>
      <c r="L68" s="241"/>
      <c r="M68" s="241"/>
      <c r="N68" s="241"/>
      <c r="O68" s="241"/>
      <c r="P68" s="241"/>
      <c r="Q68" s="241"/>
      <c r="R68" s="241">
        <f>SUM(E68:Q68)</f>
        <v>130000</v>
      </c>
      <c r="S68" s="241">
        <f>R68*0.5</f>
        <v>65000</v>
      </c>
      <c r="T68" s="241">
        <v>0</v>
      </c>
      <c r="U68" s="237"/>
    </row>
    <row r="69" spans="1:21" s="238" customFormat="1">
      <c r="A69" s="243" t="s">
        <v>2056</v>
      </c>
      <c r="B69" s="240">
        <f>SUM(C69:D69)</f>
        <v>230000</v>
      </c>
      <c r="C69" s="240">
        <f>SUM(C63:C68)</f>
        <v>230000</v>
      </c>
      <c r="D69" s="240">
        <f>SUM(D63:D68)</f>
        <v>0</v>
      </c>
      <c r="E69" s="240">
        <f t="shared" ref="E69:T69" si="22">SUM(E64:E68)</f>
        <v>230000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230000</v>
      </c>
      <c r="S69" s="244">
        <f t="shared" si="22"/>
        <v>90000</v>
      </c>
      <c r="T69" s="244">
        <f t="shared" si="22"/>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v>0</v>
      </c>
      <c r="D71" s="241"/>
      <c r="E71" s="241">
        <f>C71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f>73000*0</f>
        <v>0</v>
      </c>
      <c r="D72" s="241"/>
      <c r="E72" s="241">
        <f t="shared" ref="E72:E75" si="23">C72</f>
        <v>0</v>
      </c>
      <c r="F72" s="241"/>
      <c r="G72" s="241"/>
      <c r="H72" s="241"/>
      <c r="I72" s="241"/>
      <c r="J72" s="241"/>
      <c r="K72" s="241"/>
      <c r="L72" s="241"/>
      <c r="M72" s="241"/>
      <c r="N72" s="241"/>
      <c r="O72" s="241"/>
      <c r="P72" s="241"/>
      <c r="Q72" s="241"/>
      <c r="R72" s="241">
        <f>SUM(E72:Q72)</f>
        <v>0</v>
      </c>
      <c r="S72" s="242"/>
      <c r="T72" s="242"/>
      <c r="U72" s="237"/>
    </row>
    <row r="73" spans="1:21" s="238" customFormat="1">
      <c r="A73" s="467" t="s">
        <v>1291</v>
      </c>
      <c r="B73" s="240">
        <f>SUM(C73+D73)</f>
        <v>73000</v>
      </c>
      <c r="C73" s="241">
        <f>73000-C72</f>
        <v>73000</v>
      </c>
      <c r="D73" s="241"/>
      <c r="E73" s="241">
        <f t="shared" si="23"/>
        <v>73000</v>
      </c>
      <c r="F73" s="241"/>
      <c r="G73" s="241"/>
      <c r="H73" s="241"/>
      <c r="I73" s="241"/>
      <c r="J73" s="241"/>
      <c r="K73" s="241"/>
      <c r="L73" s="241"/>
      <c r="M73" s="241"/>
      <c r="N73" s="241"/>
      <c r="O73" s="241"/>
      <c r="P73" s="241"/>
      <c r="Q73" s="241"/>
      <c r="R73" s="241">
        <f>SUM(E73:Q73)</f>
        <v>73000</v>
      </c>
      <c r="S73" s="242"/>
      <c r="T73" s="242"/>
      <c r="U73" s="237"/>
    </row>
    <row r="74" spans="1:21" s="238" customFormat="1">
      <c r="A74" s="239" t="s">
        <v>303</v>
      </c>
      <c r="B74" s="240">
        <f>SUM(C74+D74)</f>
        <v>324605</v>
      </c>
      <c r="C74" s="241">
        <v>324605</v>
      </c>
      <c r="D74" s="241"/>
      <c r="E74" s="241">
        <f t="shared" si="23"/>
        <v>324605</v>
      </c>
      <c r="F74" s="241"/>
      <c r="G74" s="241"/>
      <c r="H74" s="241"/>
      <c r="I74" s="241"/>
      <c r="J74" s="241"/>
      <c r="K74" s="241"/>
      <c r="L74" s="241"/>
      <c r="M74" s="241"/>
      <c r="N74" s="241"/>
      <c r="O74" s="241"/>
      <c r="P74" s="241"/>
      <c r="Q74" s="241"/>
      <c r="R74" s="241">
        <f>SUM(E74:Q74)</f>
        <v>324605</v>
      </c>
      <c r="S74" s="242"/>
      <c r="T74" s="242"/>
      <c r="U74" s="237"/>
    </row>
    <row r="75" spans="1:21" s="238" customFormat="1">
      <c r="A75" s="246" t="s">
        <v>564</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397605</v>
      </c>
      <c r="C76" s="240">
        <f t="shared" ref="C76:Q76" si="24">SUM(C71:C75)</f>
        <v>397605</v>
      </c>
      <c r="D76" s="240">
        <f t="shared" si="24"/>
        <v>0</v>
      </c>
      <c r="E76" s="240">
        <f>SUM(E71:E75)</f>
        <v>397605</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397605</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1248300</v>
      </c>
      <c r="C78" s="241">
        <v>1248300</v>
      </c>
      <c r="D78" s="241"/>
      <c r="E78" s="241">
        <f>C78</f>
        <v>1248300</v>
      </c>
      <c r="F78" s="241"/>
      <c r="G78" s="241"/>
      <c r="H78" s="241"/>
      <c r="I78" s="241"/>
      <c r="J78" s="241"/>
      <c r="K78" s="241"/>
      <c r="L78" s="241"/>
      <c r="M78" s="241"/>
      <c r="N78" s="241"/>
      <c r="O78" s="241"/>
      <c r="P78" s="241"/>
      <c r="Q78" s="241"/>
      <c r="R78" s="241">
        <f>SUM(E78:Q78)</f>
        <v>1248300</v>
      </c>
      <c r="S78" s="241">
        <f>R78</f>
        <v>1248300</v>
      </c>
      <c r="T78" s="241">
        <v>0</v>
      </c>
      <c r="U78" s="237"/>
    </row>
    <row r="79" spans="1:21" s="238" customFormat="1">
      <c r="A79" s="239" t="s">
        <v>569</v>
      </c>
      <c r="B79" s="240">
        <f>SUM(C79+D79)</f>
        <v>125000</v>
      </c>
      <c r="C79" s="241">
        <v>125000</v>
      </c>
      <c r="D79" s="241"/>
      <c r="E79" s="241">
        <f>C79</f>
        <v>125000</v>
      </c>
      <c r="F79" s="241"/>
      <c r="G79" s="241"/>
      <c r="H79" s="241"/>
      <c r="I79" s="241"/>
      <c r="J79" s="241"/>
      <c r="K79" s="241"/>
      <c r="L79" s="241"/>
      <c r="M79" s="241"/>
      <c r="N79" s="241"/>
      <c r="O79" s="241"/>
      <c r="P79" s="241"/>
      <c r="Q79" s="241"/>
      <c r="R79" s="241">
        <f>SUM(E79:Q79)</f>
        <v>125000</v>
      </c>
      <c r="S79" s="241">
        <f>R79</f>
        <v>125000</v>
      </c>
      <c r="T79" s="241">
        <v>0</v>
      </c>
      <c r="U79" s="237"/>
    </row>
    <row r="80" spans="1:21" s="238" customFormat="1">
      <c r="A80" s="243" t="s">
        <v>1818</v>
      </c>
      <c r="B80" s="240">
        <f>SUM(C80:D80)</f>
        <v>1373300</v>
      </c>
      <c r="C80" s="679">
        <f>SUM(C78:C79)</f>
        <v>1373300</v>
      </c>
      <c r="D80" s="679">
        <f t="shared" ref="D80:R80" si="25">SUM(D78:D79)</f>
        <v>0</v>
      </c>
      <c r="E80" s="679">
        <f t="shared" si="25"/>
        <v>1373300</v>
      </c>
      <c r="F80" s="679">
        <f t="shared" si="25"/>
        <v>0</v>
      </c>
      <c r="G80" s="679">
        <f t="shared" si="25"/>
        <v>0</v>
      </c>
      <c r="H80" s="679">
        <f t="shared" si="25"/>
        <v>0</v>
      </c>
      <c r="I80" s="679">
        <f t="shared" si="25"/>
        <v>0</v>
      </c>
      <c r="J80" s="679">
        <f t="shared" si="25"/>
        <v>0</v>
      </c>
      <c r="K80" s="679">
        <f t="shared" si="25"/>
        <v>0</v>
      </c>
      <c r="L80" s="679">
        <f t="shared" si="25"/>
        <v>0</v>
      </c>
      <c r="M80" s="679">
        <f t="shared" si="25"/>
        <v>0</v>
      </c>
      <c r="N80" s="679">
        <f t="shared" si="25"/>
        <v>0</v>
      </c>
      <c r="O80" s="679">
        <f t="shared" si="25"/>
        <v>0</v>
      </c>
      <c r="P80" s="679">
        <f t="shared" si="25"/>
        <v>0</v>
      </c>
      <c r="Q80" s="679">
        <f t="shared" si="25"/>
        <v>0</v>
      </c>
      <c r="R80" s="679">
        <f t="shared" si="25"/>
        <v>1373300</v>
      </c>
      <c r="S80" s="679">
        <f>SUM(S78:S79)</f>
        <v>1373300</v>
      </c>
      <c r="T80" s="679">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131930</v>
      </c>
      <c r="C82" s="241">
        <v>131930</v>
      </c>
      <c r="D82" s="241"/>
      <c r="E82" s="241">
        <f>C82</f>
        <v>131930</v>
      </c>
      <c r="F82" s="241"/>
      <c r="G82" s="241"/>
      <c r="H82" s="241"/>
      <c r="I82" s="241"/>
      <c r="J82" s="241"/>
      <c r="K82" s="241"/>
      <c r="L82" s="241"/>
      <c r="M82" s="241"/>
      <c r="N82" s="241"/>
      <c r="O82" s="241"/>
      <c r="P82" s="241"/>
      <c r="Q82" s="241"/>
      <c r="R82" s="241">
        <f>SUM(E82:Q82)</f>
        <v>131930</v>
      </c>
      <c r="S82" s="242"/>
      <c r="T82" s="242"/>
      <c r="U82" s="237"/>
    </row>
    <row r="83" spans="1:21" s="238" customFormat="1">
      <c r="A83" s="239" t="s">
        <v>547</v>
      </c>
      <c r="B83" s="240">
        <f t="shared" ref="B83:B93" si="26">SUM(C83+D83)</f>
        <v>120000</v>
      </c>
      <c r="C83" s="241">
        <v>120000</v>
      </c>
      <c r="D83" s="241"/>
      <c r="E83" s="241">
        <f t="shared" ref="E83:E94" si="27">C83</f>
        <v>120000</v>
      </c>
      <c r="F83" s="241"/>
      <c r="G83" s="241"/>
      <c r="H83" s="241"/>
      <c r="I83" s="241"/>
      <c r="J83" s="241"/>
      <c r="K83" s="241"/>
      <c r="L83" s="241"/>
      <c r="M83" s="241"/>
      <c r="N83" s="241"/>
      <c r="O83" s="241"/>
      <c r="P83" s="241"/>
      <c r="Q83" s="241"/>
      <c r="R83" s="241">
        <f t="shared" ref="R83:R93" si="28">SUM(E83:Q83)</f>
        <v>120000</v>
      </c>
      <c r="S83" s="241">
        <f>R83</f>
        <v>120000</v>
      </c>
      <c r="T83" s="241">
        <v>0</v>
      </c>
      <c r="U83" s="237"/>
    </row>
    <row r="84" spans="1:21" s="238" customFormat="1">
      <c r="A84" s="239" t="s">
        <v>548</v>
      </c>
      <c r="B84" s="240">
        <f t="shared" si="26"/>
        <v>0</v>
      </c>
      <c r="C84" s="241">
        <v>0</v>
      </c>
      <c r="D84" s="241"/>
      <c r="E84" s="241">
        <f t="shared" si="27"/>
        <v>0</v>
      </c>
      <c r="F84" s="241"/>
      <c r="G84" s="241"/>
      <c r="H84" s="241"/>
      <c r="I84" s="241"/>
      <c r="J84" s="241"/>
      <c r="K84" s="241"/>
      <c r="L84" s="241"/>
      <c r="M84" s="241"/>
      <c r="N84" s="241"/>
      <c r="O84" s="241"/>
      <c r="P84" s="241"/>
      <c r="Q84" s="241"/>
      <c r="R84" s="241">
        <f t="shared" si="28"/>
        <v>0</v>
      </c>
      <c r="S84" s="241">
        <f t="shared" ref="S84:S86" si="29">R84</f>
        <v>0</v>
      </c>
      <c r="T84" s="241">
        <v>0</v>
      </c>
      <c r="U84" s="237"/>
    </row>
    <row r="85" spans="1:21" s="238" customFormat="1">
      <c r="A85" s="239" t="s">
        <v>549</v>
      </c>
      <c r="B85" s="240">
        <f t="shared" si="26"/>
        <v>150000</v>
      </c>
      <c r="C85" s="241">
        <v>150000</v>
      </c>
      <c r="D85" s="241"/>
      <c r="E85" s="241">
        <f t="shared" si="27"/>
        <v>150000</v>
      </c>
      <c r="F85" s="241"/>
      <c r="G85" s="241"/>
      <c r="H85" s="241"/>
      <c r="I85" s="241"/>
      <c r="J85" s="241"/>
      <c r="K85" s="241"/>
      <c r="L85" s="241"/>
      <c r="M85" s="241"/>
      <c r="N85" s="241"/>
      <c r="O85" s="241"/>
      <c r="P85" s="241"/>
      <c r="Q85" s="241"/>
      <c r="R85" s="241">
        <f t="shared" si="28"/>
        <v>150000</v>
      </c>
      <c r="S85" s="241">
        <f t="shared" si="29"/>
        <v>150000</v>
      </c>
      <c r="T85" s="241">
        <v>0</v>
      </c>
      <c r="U85" s="237"/>
    </row>
    <row r="86" spans="1:21" s="238" customFormat="1">
      <c r="A86" s="239" t="s">
        <v>550</v>
      </c>
      <c r="B86" s="240">
        <f t="shared" si="26"/>
        <v>0</v>
      </c>
      <c r="C86" s="241">
        <v>0</v>
      </c>
      <c r="D86" s="241"/>
      <c r="E86" s="241">
        <f t="shared" si="27"/>
        <v>0</v>
      </c>
      <c r="F86" s="241"/>
      <c r="G86" s="241"/>
      <c r="H86" s="241"/>
      <c r="I86" s="241"/>
      <c r="J86" s="241"/>
      <c r="K86" s="241"/>
      <c r="L86" s="241"/>
      <c r="M86" s="241"/>
      <c r="N86" s="241"/>
      <c r="O86" s="241"/>
      <c r="P86" s="241"/>
      <c r="Q86" s="241"/>
      <c r="R86" s="241">
        <f t="shared" si="28"/>
        <v>0</v>
      </c>
      <c r="S86" s="241">
        <f t="shared" si="29"/>
        <v>0</v>
      </c>
      <c r="T86" s="241">
        <v>0</v>
      </c>
      <c r="U86" s="237"/>
    </row>
    <row r="87" spans="1:21" s="238" customFormat="1">
      <c r="A87" s="239" t="s">
        <v>551</v>
      </c>
      <c r="B87" s="240">
        <f t="shared" si="26"/>
        <v>0</v>
      </c>
      <c r="C87" s="241">
        <v>0</v>
      </c>
      <c r="D87" s="241"/>
      <c r="E87" s="241">
        <f t="shared" si="27"/>
        <v>0</v>
      </c>
      <c r="F87" s="241"/>
      <c r="G87" s="241"/>
      <c r="H87" s="241"/>
      <c r="I87" s="241"/>
      <c r="J87" s="241"/>
      <c r="K87" s="241"/>
      <c r="L87" s="241"/>
      <c r="M87" s="241"/>
      <c r="N87" s="241"/>
      <c r="O87" s="241"/>
      <c r="P87" s="241"/>
      <c r="Q87" s="241"/>
      <c r="R87" s="241">
        <f t="shared" si="28"/>
        <v>0</v>
      </c>
      <c r="S87" s="242"/>
      <c r="T87" s="242"/>
      <c r="U87" s="237"/>
    </row>
    <row r="88" spans="1:21" s="238" customFormat="1">
      <c r="A88" s="239" t="s">
        <v>552</v>
      </c>
      <c r="B88" s="240">
        <f t="shared" si="26"/>
        <v>50000</v>
      </c>
      <c r="C88" s="241">
        <v>50000</v>
      </c>
      <c r="D88" s="241"/>
      <c r="E88" s="241">
        <f t="shared" si="27"/>
        <v>50000</v>
      </c>
      <c r="F88" s="241"/>
      <c r="G88" s="241"/>
      <c r="H88" s="241"/>
      <c r="I88" s="241"/>
      <c r="J88" s="241"/>
      <c r="K88" s="241"/>
      <c r="L88" s="241"/>
      <c r="M88" s="241"/>
      <c r="N88" s="241"/>
      <c r="O88" s="241"/>
      <c r="P88" s="241"/>
      <c r="Q88" s="241"/>
      <c r="R88" s="241">
        <f t="shared" si="28"/>
        <v>50000</v>
      </c>
      <c r="S88" s="241">
        <f>R88</f>
        <v>50000</v>
      </c>
      <c r="T88" s="241">
        <v>0</v>
      </c>
      <c r="U88" s="237"/>
    </row>
    <row r="89" spans="1:21" s="238" customFormat="1">
      <c r="A89" s="239" t="s">
        <v>553</v>
      </c>
      <c r="B89" s="240">
        <f t="shared" si="26"/>
        <v>50000</v>
      </c>
      <c r="C89" s="241">
        <v>50000</v>
      </c>
      <c r="D89" s="241"/>
      <c r="E89" s="241">
        <f t="shared" si="27"/>
        <v>50000</v>
      </c>
      <c r="F89" s="241"/>
      <c r="G89" s="241"/>
      <c r="H89" s="241"/>
      <c r="I89" s="241"/>
      <c r="J89" s="241"/>
      <c r="K89" s="241"/>
      <c r="L89" s="241"/>
      <c r="M89" s="241"/>
      <c r="N89" s="241"/>
      <c r="O89" s="241"/>
      <c r="P89" s="241"/>
      <c r="Q89" s="241"/>
      <c r="R89" s="241">
        <f t="shared" si="28"/>
        <v>50000</v>
      </c>
      <c r="S89" s="241">
        <f t="shared" ref="S89:S94" si="30">R89</f>
        <v>50000</v>
      </c>
      <c r="T89" s="241">
        <v>0</v>
      </c>
      <c r="U89" s="237"/>
    </row>
    <row r="90" spans="1:21" s="238" customFormat="1">
      <c r="A90" s="250" t="s">
        <v>1367</v>
      </c>
      <c r="B90" s="240">
        <f t="shared" si="26"/>
        <v>15000</v>
      </c>
      <c r="C90" s="241">
        <v>15000</v>
      </c>
      <c r="D90" s="241"/>
      <c r="E90" s="241">
        <f t="shared" si="27"/>
        <v>15000</v>
      </c>
      <c r="F90" s="241"/>
      <c r="G90" s="241"/>
      <c r="H90" s="241"/>
      <c r="I90" s="241"/>
      <c r="J90" s="241"/>
      <c r="K90" s="241"/>
      <c r="L90" s="241"/>
      <c r="M90" s="241"/>
      <c r="N90" s="241"/>
      <c r="O90" s="241"/>
      <c r="P90" s="241"/>
      <c r="Q90" s="241"/>
      <c r="R90" s="241">
        <f t="shared" si="28"/>
        <v>15000</v>
      </c>
      <c r="S90" s="241">
        <v>0</v>
      </c>
      <c r="T90" s="241">
        <v>0</v>
      </c>
      <c r="U90" s="237"/>
    </row>
    <row r="91" spans="1:21" s="238" customFormat="1">
      <c r="A91" s="250" t="s">
        <v>1816</v>
      </c>
      <c r="B91" s="240">
        <f t="shared" si="26"/>
        <v>20000</v>
      </c>
      <c r="C91" s="241">
        <v>20000</v>
      </c>
      <c r="D91" s="241"/>
      <c r="E91" s="241">
        <f t="shared" si="27"/>
        <v>20000</v>
      </c>
      <c r="F91" s="241"/>
      <c r="G91" s="241"/>
      <c r="H91" s="241"/>
      <c r="I91" s="241"/>
      <c r="J91" s="241"/>
      <c r="K91" s="241"/>
      <c r="L91" s="241"/>
      <c r="M91" s="241"/>
      <c r="N91" s="241"/>
      <c r="O91" s="241"/>
      <c r="P91" s="241"/>
      <c r="Q91" s="241"/>
      <c r="R91" s="241">
        <f t="shared" si="28"/>
        <v>20000</v>
      </c>
      <c r="S91" s="241">
        <f t="shared" si="30"/>
        <v>20000</v>
      </c>
      <c r="T91" s="241">
        <v>0</v>
      </c>
      <c r="U91" s="237"/>
    </row>
    <row r="92" spans="1:21" s="238" customFormat="1">
      <c r="A92" s="246" t="s">
        <v>2454</v>
      </c>
      <c r="B92" s="240">
        <f t="shared" si="26"/>
        <v>100000</v>
      </c>
      <c r="C92" s="241">
        <v>100000</v>
      </c>
      <c r="D92" s="241"/>
      <c r="E92" s="241">
        <f t="shared" si="27"/>
        <v>100000</v>
      </c>
      <c r="F92" s="241"/>
      <c r="G92" s="241"/>
      <c r="H92" s="241"/>
      <c r="I92" s="241"/>
      <c r="J92" s="241"/>
      <c r="K92" s="241"/>
      <c r="L92" s="241"/>
      <c r="M92" s="241"/>
      <c r="N92" s="241"/>
      <c r="O92" s="241"/>
      <c r="P92" s="241"/>
      <c r="Q92" s="241"/>
      <c r="R92" s="241">
        <f t="shared" si="28"/>
        <v>100000</v>
      </c>
      <c r="S92" s="241">
        <f t="shared" si="30"/>
        <v>100000</v>
      </c>
      <c r="T92" s="241">
        <v>0</v>
      </c>
      <c r="U92" s="237"/>
    </row>
    <row r="93" spans="1:21" s="238" customFormat="1">
      <c r="A93" s="246" t="s">
        <v>564</v>
      </c>
      <c r="B93" s="240">
        <f t="shared" si="26"/>
        <v>0</v>
      </c>
      <c r="C93" s="241">
        <v>0</v>
      </c>
      <c r="D93" s="241"/>
      <c r="E93" s="241">
        <f t="shared" si="27"/>
        <v>0</v>
      </c>
      <c r="F93" s="241"/>
      <c r="G93" s="241"/>
      <c r="H93" s="241"/>
      <c r="I93" s="241"/>
      <c r="J93" s="241"/>
      <c r="K93" s="241"/>
      <c r="L93" s="241"/>
      <c r="M93" s="241"/>
      <c r="N93" s="241"/>
      <c r="O93" s="241"/>
      <c r="P93" s="241"/>
      <c r="Q93" s="241"/>
      <c r="R93" s="241">
        <f t="shared" si="28"/>
        <v>0</v>
      </c>
      <c r="S93" s="241">
        <f t="shared" si="30"/>
        <v>0</v>
      </c>
      <c r="T93" s="241">
        <v>0</v>
      </c>
      <c r="U93" s="237"/>
    </row>
    <row r="94" spans="1:21" s="238" customFormat="1">
      <c r="A94" s="246" t="s">
        <v>2453</v>
      </c>
      <c r="B94" s="240">
        <f>SUM(C94+D94)</f>
        <v>100000</v>
      </c>
      <c r="C94" s="241">
        <v>100000</v>
      </c>
      <c r="D94" s="241"/>
      <c r="E94" s="241">
        <f t="shared" si="27"/>
        <v>100000</v>
      </c>
      <c r="F94" s="241"/>
      <c r="G94" s="241"/>
      <c r="H94" s="241"/>
      <c r="I94" s="241"/>
      <c r="J94" s="241"/>
      <c r="K94" s="241"/>
      <c r="L94" s="241"/>
      <c r="M94" s="241"/>
      <c r="N94" s="241"/>
      <c r="O94" s="241"/>
      <c r="P94" s="241"/>
      <c r="Q94" s="241"/>
      <c r="R94" s="241">
        <f>SUM(E94:Q94)</f>
        <v>100000</v>
      </c>
      <c r="S94" s="241">
        <f t="shared" si="30"/>
        <v>100000</v>
      </c>
      <c r="T94" s="241">
        <v>0</v>
      </c>
      <c r="U94" s="237"/>
    </row>
    <row r="95" spans="1:21" s="238" customFormat="1">
      <c r="A95" s="243" t="s">
        <v>554</v>
      </c>
      <c r="B95" s="240">
        <f>SUM(C95:D95)</f>
        <v>736930</v>
      </c>
      <c r="C95" s="240">
        <f t="shared" ref="C95:R95" si="31">SUM(C82:C94)</f>
        <v>736930</v>
      </c>
      <c r="D95" s="240">
        <f t="shared" si="31"/>
        <v>0</v>
      </c>
      <c r="E95" s="240">
        <f t="shared" si="31"/>
        <v>736930</v>
      </c>
      <c r="F95" s="240">
        <f t="shared" si="31"/>
        <v>0</v>
      </c>
      <c r="G95" s="240">
        <f t="shared" si="31"/>
        <v>0</v>
      </c>
      <c r="H95" s="240">
        <f t="shared" si="31"/>
        <v>0</v>
      </c>
      <c r="I95" s="240">
        <f t="shared" si="31"/>
        <v>0</v>
      </c>
      <c r="J95" s="240">
        <f t="shared" si="31"/>
        <v>0</v>
      </c>
      <c r="K95" s="240">
        <f t="shared" si="31"/>
        <v>0</v>
      </c>
      <c r="L95" s="240">
        <f t="shared" si="31"/>
        <v>0</v>
      </c>
      <c r="M95" s="240">
        <f t="shared" si="31"/>
        <v>0</v>
      </c>
      <c r="N95" s="240">
        <f t="shared" si="31"/>
        <v>0</v>
      </c>
      <c r="O95" s="240">
        <f t="shared" si="31"/>
        <v>0</v>
      </c>
      <c r="P95" s="240">
        <f t="shared" si="31"/>
        <v>0</v>
      </c>
      <c r="Q95" s="240">
        <f t="shared" si="31"/>
        <v>0</v>
      </c>
      <c r="R95" s="240">
        <f t="shared" si="31"/>
        <v>736930</v>
      </c>
      <c r="S95" s="244">
        <f>SUM(S83:S86,S88:S94)</f>
        <v>590000</v>
      </c>
      <c r="T95" s="240">
        <f>SUM(T83:T86,T88:T94)</f>
        <v>0</v>
      </c>
      <c r="U95" s="237"/>
    </row>
    <row r="96" spans="1:21" s="238" customFormat="1">
      <c r="A96" s="243" t="s">
        <v>555</v>
      </c>
      <c r="B96" s="240">
        <f>SUM(C96:D96)</f>
        <v>42537740</v>
      </c>
      <c r="C96" s="240">
        <f t="shared" ref="C96:R96" si="32">SUM(C62+C69+C76+C80+C95)</f>
        <v>42537740</v>
      </c>
      <c r="D96" s="240">
        <f t="shared" si="32"/>
        <v>0</v>
      </c>
      <c r="E96" s="240">
        <f t="shared" si="32"/>
        <v>22906448</v>
      </c>
      <c r="F96" s="240">
        <f t="shared" si="32"/>
        <v>10975000</v>
      </c>
      <c r="G96" s="240">
        <f t="shared" si="32"/>
        <v>7794405</v>
      </c>
      <c r="H96" s="240">
        <f t="shared" si="32"/>
        <v>861887</v>
      </c>
      <c r="I96" s="240">
        <f t="shared" si="32"/>
        <v>0</v>
      </c>
      <c r="J96" s="240">
        <f t="shared" si="32"/>
        <v>0</v>
      </c>
      <c r="K96" s="240">
        <f t="shared" si="32"/>
        <v>0</v>
      </c>
      <c r="L96" s="240">
        <f t="shared" si="32"/>
        <v>0</v>
      </c>
      <c r="M96" s="240">
        <f t="shared" si="32"/>
        <v>0</v>
      </c>
      <c r="N96" s="240">
        <f t="shared" si="32"/>
        <v>0</v>
      </c>
      <c r="O96" s="240">
        <f t="shared" si="32"/>
        <v>0</v>
      </c>
      <c r="P96" s="240">
        <f t="shared" si="32"/>
        <v>0</v>
      </c>
      <c r="Q96" s="240">
        <f t="shared" si="32"/>
        <v>0</v>
      </c>
      <c r="R96" s="240">
        <f t="shared" si="32"/>
        <v>42537740</v>
      </c>
      <c r="S96" s="244">
        <f>SUM(+S62+S69+S80+S95)</f>
        <v>16657332</v>
      </c>
      <c r="T96" s="244">
        <f>SUM(T62+T69+T80+T95)</f>
        <v>22041000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C98-I98</f>
        <v>1100000</v>
      </c>
      <c r="F98" s="241"/>
      <c r="G98" s="241"/>
      <c r="H98" s="241"/>
      <c r="I98" s="241">
        <f>I107</f>
        <v>1100000</v>
      </c>
      <c r="J98" s="241"/>
      <c r="K98" s="241"/>
      <c r="L98" s="241"/>
      <c r="M98" s="241"/>
      <c r="N98" s="241"/>
      <c r="O98" s="241"/>
      <c r="P98" s="241"/>
      <c r="Q98" s="241"/>
      <c r="R98" s="241">
        <f>SUM(E98:Q98)</f>
        <v>2200000</v>
      </c>
      <c r="S98" s="241">
        <v>1097950</v>
      </c>
      <c r="T98" s="241">
        <v>1102050</v>
      </c>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3">SUM(C98:C102)</f>
        <v>2200000</v>
      </c>
      <c r="D103" s="240">
        <f t="shared" si="33"/>
        <v>0</v>
      </c>
      <c r="E103" s="240">
        <f t="shared" si="33"/>
        <v>1100000</v>
      </c>
      <c r="F103" s="240">
        <f t="shared" si="33"/>
        <v>0</v>
      </c>
      <c r="G103" s="240">
        <f t="shared" si="33"/>
        <v>0</v>
      </c>
      <c r="H103" s="240">
        <f t="shared" si="33"/>
        <v>0</v>
      </c>
      <c r="I103" s="240">
        <f t="shared" si="33"/>
        <v>1100000</v>
      </c>
      <c r="J103" s="240">
        <f t="shared" si="33"/>
        <v>0</v>
      </c>
      <c r="K103" s="240">
        <f t="shared" si="33"/>
        <v>0</v>
      </c>
      <c r="L103" s="240">
        <f t="shared" si="33"/>
        <v>0</v>
      </c>
      <c r="M103" s="240">
        <f t="shared" si="33"/>
        <v>0</v>
      </c>
      <c r="N103" s="240">
        <f t="shared" si="33"/>
        <v>0</v>
      </c>
      <c r="O103" s="240">
        <f t="shared" si="33"/>
        <v>0</v>
      </c>
      <c r="P103" s="240">
        <f t="shared" si="33"/>
        <v>0</v>
      </c>
      <c r="Q103" s="240">
        <f t="shared" si="33"/>
        <v>0</v>
      </c>
      <c r="R103" s="240">
        <f t="shared" si="33"/>
        <v>2200000</v>
      </c>
      <c r="S103" s="244">
        <f t="shared" si="33"/>
        <v>1097950</v>
      </c>
      <c r="T103" s="244">
        <f t="shared" si="33"/>
        <v>1102050</v>
      </c>
      <c r="U103" s="237"/>
    </row>
    <row r="104" spans="1:21" s="238" customFormat="1">
      <c r="A104" s="243" t="s">
        <v>1203</v>
      </c>
      <c r="B104" s="244">
        <f>SUM(C104:D104)</f>
        <v>44737740</v>
      </c>
      <c r="C104" s="244">
        <f t="shared" ref="C104:R104" si="34">SUM(C96+C103)</f>
        <v>44737740</v>
      </c>
      <c r="D104" s="244">
        <f t="shared" si="34"/>
        <v>0</v>
      </c>
      <c r="E104" s="244">
        <f t="shared" si="34"/>
        <v>24006448</v>
      </c>
      <c r="F104" s="244">
        <f t="shared" si="34"/>
        <v>10975000</v>
      </c>
      <c r="G104" s="244">
        <f t="shared" si="34"/>
        <v>7794405</v>
      </c>
      <c r="H104" s="244">
        <f t="shared" si="34"/>
        <v>861887</v>
      </c>
      <c r="I104" s="244">
        <f t="shared" si="34"/>
        <v>1100000</v>
      </c>
      <c r="J104" s="244">
        <f t="shared" si="34"/>
        <v>0</v>
      </c>
      <c r="K104" s="244">
        <f t="shared" si="34"/>
        <v>0</v>
      </c>
      <c r="L104" s="244">
        <f t="shared" si="34"/>
        <v>0</v>
      </c>
      <c r="M104" s="244">
        <f t="shared" si="34"/>
        <v>0</v>
      </c>
      <c r="N104" s="244">
        <f t="shared" si="34"/>
        <v>0</v>
      </c>
      <c r="O104" s="244">
        <f t="shared" si="34"/>
        <v>0</v>
      </c>
      <c r="P104" s="244">
        <f t="shared" si="34"/>
        <v>0</v>
      </c>
      <c r="Q104" s="244">
        <f t="shared" si="34"/>
        <v>0</v>
      </c>
      <c r="R104" s="240">
        <f t="shared" si="34"/>
        <v>44737740</v>
      </c>
      <c r="S104" s="244">
        <f>S96+S103</f>
        <v>17755282</v>
      </c>
      <c r="T104" s="244">
        <f>T96+T103</f>
        <v>23143050</v>
      </c>
      <c r="U104" s="237"/>
    </row>
    <row r="105" spans="1:21" s="253" customFormat="1">
      <c r="A105" s="795"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17755282</v>
      </c>
      <c r="T106" s="244">
        <f>T104+T105</f>
        <v>23143050</v>
      </c>
      <c r="U106" s="256"/>
    </row>
    <row r="107" spans="1:21" s="258" customFormat="1">
      <c r="A107" s="257" t="s">
        <v>1153</v>
      </c>
      <c r="B107" s="252"/>
      <c r="C107" s="252"/>
      <c r="D107" s="252"/>
      <c r="E107" s="240">
        <f>Application!AO631</f>
        <v>24006448</v>
      </c>
      <c r="F107" s="240">
        <f>Application!AO618</f>
        <v>10975000</v>
      </c>
      <c r="G107" s="240">
        <f>Application!AO619</f>
        <v>7794405</v>
      </c>
      <c r="H107" s="240">
        <f>Application!AO620</f>
        <v>861887</v>
      </c>
      <c r="I107" s="240">
        <f>Application!AO621</f>
        <v>1100000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1"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0"/>
    </row>
    <row r="115" spans="1:21" s="253" customFormat="1" ht="14.25">
      <c r="A115" s="297"/>
      <c r="U115" s="256"/>
    </row>
    <row r="116" spans="1:21" s="258" customFormat="1">
      <c r="A116" s="574"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4"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1" customFormat="1">
      <c r="A118" s="574" t="s">
        <v>1364</v>
      </c>
      <c r="B118" s="253"/>
      <c r="C118" s="253"/>
      <c r="D118" s="253"/>
      <c r="E118" s="253"/>
      <c r="F118" s="253"/>
      <c r="G118" s="253"/>
      <c r="H118" s="253"/>
      <c r="I118" s="253"/>
      <c r="J118" s="253"/>
      <c r="K118" s="253"/>
      <c r="L118" s="253"/>
      <c r="M118" s="253"/>
      <c r="N118" s="253"/>
      <c r="O118" s="253"/>
      <c r="P118" s="253"/>
      <c r="Q118" s="253"/>
      <c r="R118" s="253"/>
      <c r="S118" s="253"/>
      <c r="T118" s="253"/>
      <c r="U118" s="490"/>
    </row>
    <row r="119" spans="1:21" s="491" customFormat="1">
      <c r="A119" s="574" t="s">
        <v>1366</v>
      </c>
      <c r="B119" s="253"/>
      <c r="C119" s="253"/>
      <c r="D119" s="253"/>
      <c r="E119" s="253"/>
      <c r="F119" s="253"/>
      <c r="G119" s="253"/>
      <c r="H119" s="253"/>
      <c r="I119" s="253"/>
      <c r="J119" s="253"/>
      <c r="K119" s="253"/>
      <c r="L119" s="253"/>
      <c r="M119" s="253"/>
      <c r="N119" s="253"/>
      <c r="O119" s="253"/>
      <c r="P119" s="253"/>
      <c r="Q119" s="253"/>
      <c r="R119" s="253"/>
      <c r="S119" s="253"/>
      <c r="T119" s="253"/>
      <c r="U119" s="490"/>
    </row>
    <row r="120" spans="1:21" s="253" customFormat="1" ht="14.25">
      <c r="A120" s="297"/>
      <c r="U120" s="256"/>
    </row>
    <row r="121" spans="1:21" s="565" customFormat="1" ht="15.75">
      <c r="A121" s="564" t="s">
        <v>1357</v>
      </c>
      <c r="U121" s="566"/>
    </row>
    <row r="122" spans="1:21" s="253" customFormat="1">
      <c r="A122" s="254" t="s">
        <v>1342</v>
      </c>
      <c r="D122" s="1592" t="s">
        <v>1343</v>
      </c>
      <c r="E122" s="1592"/>
      <c r="F122" s="1592"/>
      <c r="U122" s="256"/>
    </row>
    <row r="123" spans="1:21" s="253" customFormat="1">
      <c r="A123" s="253" t="s">
        <v>1344</v>
      </c>
      <c r="B123" s="559"/>
      <c r="D123" s="1583" t="s">
        <v>1368</v>
      </c>
      <c r="E123" s="1584"/>
      <c r="F123" s="1584"/>
      <c r="G123" s="1584"/>
      <c r="H123" s="1584"/>
      <c r="I123" s="1584"/>
      <c r="J123" s="1584"/>
      <c r="K123" s="1584"/>
      <c r="L123" s="1584"/>
      <c r="M123" s="1584"/>
      <c r="N123" s="1584"/>
      <c r="O123" s="1584"/>
      <c r="P123" s="1584"/>
      <c r="Q123" s="1584"/>
      <c r="R123" s="1584"/>
      <c r="S123" s="1584"/>
      <c r="U123" s="256"/>
    </row>
    <row r="124" spans="1:21" s="253" customFormat="1" ht="12.75">
      <c r="A124" s="209" t="s">
        <v>1345</v>
      </c>
      <c r="B124" s="559"/>
      <c r="C124" s="209"/>
      <c r="D124" s="1584"/>
      <c r="E124" s="1584"/>
      <c r="F124" s="1584"/>
      <c r="G124" s="1584"/>
      <c r="H124" s="1584"/>
      <c r="I124" s="1584"/>
      <c r="J124" s="1584"/>
      <c r="K124" s="1584"/>
      <c r="L124" s="1584"/>
      <c r="M124" s="1584"/>
      <c r="N124" s="1584"/>
      <c r="O124" s="1584"/>
      <c r="P124" s="1584"/>
      <c r="Q124" s="1584"/>
      <c r="R124" s="1584"/>
      <c r="S124" s="1584"/>
      <c r="U124" s="256"/>
    </row>
    <row r="125" spans="1:21" s="253" customFormat="1" ht="12.75">
      <c r="A125" s="209" t="s">
        <v>1346</v>
      </c>
      <c r="B125" s="559"/>
      <c r="C125" s="209"/>
      <c r="D125" s="1584"/>
      <c r="E125" s="1584"/>
      <c r="F125" s="1584"/>
      <c r="G125" s="1584"/>
      <c r="H125" s="1584"/>
      <c r="I125" s="1584"/>
      <c r="J125" s="1584"/>
      <c r="K125" s="1584"/>
      <c r="L125" s="1584"/>
      <c r="M125" s="1584"/>
      <c r="N125" s="1584"/>
      <c r="O125" s="1584"/>
      <c r="P125" s="1584"/>
      <c r="Q125" s="1584"/>
      <c r="R125" s="1584"/>
      <c r="S125" s="1584"/>
      <c r="U125" s="256"/>
    </row>
    <row r="126" spans="1:21" s="253" customFormat="1" ht="12.75">
      <c r="A126" s="209" t="s">
        <v>1347</v>
      </c>
      <c r="B126" s="559"/>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9"/>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9"/>
      <c r="C128" s="209"/>
      <c r="D128" s="1587"/>
      <c r="E128" s="1587"/>
      <c r="F128" s="1587"/>
      <c r="G128" s="1587"/>
      <c r="H128" s="1587"/>
      <c r="I128" s="209"/>
      <c r="J128" s="1582"/>
      <c r="K128" s="1582"/>
      <c r="L128" s="209"/>
      <c r="M128" s="209"/>
      <c r="N128" s="209"/>
      <c r="O128" s="209"/>
      <c r="P128" s="209"/>
      <c r="Q128" s="209"/>
      <c r="R128" s="209"/>
      <c r="S128" s="209"/>
      <c r="U128" s="256"/>
    </row>
    <row r="129" spans="1:21" s="253" customFormat="1" ht="12.75">
      <c r="A129" s="209" t="s">
        <v>528</v>
      </c>
      <c r="B129" s="559"/>
      <c r="C129" s="209"/>
      <c r="D129" s="1591" t="s">
        <v>1350</v>
      </c>
      <c r="E129" s="1591"/>
      <c r="F129" s="1591"/>
      <c r="G129" s="1591"/>
      <c r="H129" s="1591"/>
      <c r="I129" s="209"/>
      <c r="J129" s="209" t="s">
        <v>1351</v>
      </c>
      <c r="K129" s="209"/>
      <c r="L129" s="209"/>
      <c r="M129" s="209"/>
      <c r="N129" s="209"/>
      <c r="O129" s="209"/>
      <c r="P129" s="209"/>
      <c r="Q129" s="209"/>
      <c r="R129" s="209"/>
      <c r="S129" s="209"/>
      <c r="U129" s="256"/>
    </row>
    <row r="130" spans="1:21" s="253" customFormat="1" ht="12.75">
      <c r="A130" s="209"/>
      <c r="B130" s="557"/>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0">
        <f>SUM(B123:B129)</f>
        <v>0</v>
      </c>
      <c r="C131" s="209"/>
      <c r="D131" s="1483"/>
      <c r="E131" s="1483"/>
      <c r="F131" s="1483"/>
      <c r="G131" s="1483"/>
      <c r="H131" s="1483"/>
      <c r="I131" s="209"/>
      <c r="J131" s="1483"/>
      <c r="K131" s="1483"/>
      <c r="L131" s="1483"/>
      <c r="M131" s="1483"/>
      <c r="N131" s="209"/>
      <c r="O131" s="209"/>
      <c r="P131" s="209"/>
      <c r="Q131" s="209"/>
      <c r="R131" s="209"/>
      <c r="S131" s="209"/>
      <c r="U131" s="256"/>
    </row>
    <row r="132" spans="1:21" s="253" customFormat="1" ht="12.75">
      <c r="A132" s="561"/>
      <c r="B132" s="209"/>
      <c r="C132" s="209"/>
      <c r="D132" s="1585" t="s">
        <v>1353</v>
      </c>
      <c r="E132" s="1585"/>
      <c r="F132" s="1585"/>
      <c r="G132" s="1585"/>
      <c r="H132" s="1585"/>
      <c r="I132" s="209"/>
      <c r="J132" s="1585" t="s">
        <v>1354</v>
      </c>
      <c r="K132" s="1585"/>
      <c r="L132" s="1585"/>
      <c r="M132" s="1585"/>
      <c r="N132" s="209"/>
      <c r="O132" s="209"/>
      <c r="P132" s="209"/>
      <c r="Q132" s="209"/>
      <c r="R132" s="209"/>
      <c r="S132" s="209"/>
      <c r="U132" s="256"/>
    </row>
    <row r="133" spans="1:21" s="253" customFormat="1" ht="12.75">
      <c r="A133" s="561"/>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68"/>
      <c r="O135" s="209"/>
      <c r="P135" s="209"/>
      <c r="Q135" s="209"/>
      <c r="R135" s="209"/>
      <c r="S135" s="209"/>
      <c r="U135" s="256"/>
    </row>
    <row r="136" spans="1:21" ht="12.75">
      <c r="A136" s="561"/>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1"/>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6"/>
      <c r="E138" s="1582"/>
      <c r="F138" s="1582"/>
      <c r="G138" s="209"/>
      <c r="H138" s="209"/>
      <c r="I138" s="209"/>
      <c r="J138" s="209"/>
      <c r="K138" s="209"/>
      <c r="L138" s="209"/>
      <c r="M138" s="209"/>
      <c r="N138" s="209"/>
      <c r="O138" s="209"/>
      <c r="P138" s="209"/>
      <c r="Q138" s="209"/>
      <c r="R138" s="209"/>
      <c r="S138" s="209"/>
    </row>
    <row r="139" spans="1:21" ht="12" customHeight="1">
      <c r="A139" s="1581" t="s">
        <v>1356</v>
      </c>
      <c r="B139" s="1581"/>
      <c r="C139" s="158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8"/>
      <c r="B140" s="209"/>
      <c r="C140" s="209"/>
      <c r="D140" s="356"/>
      <c r="E140" s="209"/>
      <c r="F140" s="209"/>
      <c r="G140" s="209"/>
      <c r="H140" s="209"/>
      <c r="I140" s="209"/>
      <c r="J140" s="209"/>
      <c r="K140" s="209"/>
      <c r="L140" s="209"/>
      <c r="M140" s="209"/>
      <c r="N140" s="209"/>
      <c r="O140" s="209"/>
      <c r="P140" s="209"/>
      <c r="Q140" s="209"/>
      <c r="R140" s="209"/>
      <c r="S140" s="209"/>
      <c r="T140" s="588"/>
      <c r="U140" s="492"/>
    </row>
    <row r="141" spans="1:21" s="562" customFormat="1" ht="12" customHeight="1">
      <c r="B141" s="356"/>
      <c r="C141" s="356"/>
      <c r="D141" s="356"/>
      <c r="E141" s="356"/>
      <c r="F141" s="356"/>
      <c r="G141" s="209"/>
      <c r="H141" s="209"/>
      <c r="I141" s="209"/>
      <c r="J141" s="209"/>
      <c r="K141" s="209"/>
      <c r="L141" s="209"/>
      <c r="M141" s="209"/>
      <c r="N141" s="209"/>
      <c r="O141" s="209"/>
      <c r="P141" s="209"/>
      <c r="Q141" s="209"/>
      <c r="R141" s="209"/>
      <c r="S141" s="209"/>
      <c r="T141" s="588"/>
      <c r="U141" s="563"/>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4" zoomScale="85" zoomScaleNormal="85" workbookViewId="0">
      <selection activeCell="AM38" sqref="AM3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8" t="s">
        <v>1822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 ",'Sources and Basis Breakdown'!G2)</f>
        <v xml:space="preserve"> </v>
      </c>
      <c r="Z7" s="1612"/>
      <c r="AA7" s="1612"/>
      <c r="AB7" s="1612"/>
      <c r="AC7" s="1612"/>
      <c r="AD7" s="1612" t="str">
        <f>IF(T25=100%,'Sources and Basis Breakdown'!J2,'Sources and Basis Breakdown'!I2)</f>
        <v>30% PVC for Acquisition
NON-DDA/
NON-QCT Building(s)</v>
      </c>
      <c r="AE7" s="1612"/>
      <c r="AF7" s="1612"/>
      <c r="AG7" s="1612"/>
      <c r="AH7" s="1612"/>
      <c r="AI7" s="1612" t="str">
        <f>IF(T25=100%," ",'Sources and Basis Breakdown'!J2)</f>
        <v xml:space="preserve"> </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2">
        <f>IF('Sources and Basis Breakdown'!F105=0,'Sources and Basis Breakdown'!E105,'Sources and Basis Breakdown'!F105)</f>
        <v>17755282</v>
      </c>
      <c r="U11" s="1613"/>
      <c r="V11" s="1613"/>
      <c r="W11" s="1613"/>
      <c r="X11" s="1613"/>
      <c r="Y11" s="1629">
        <f>IF(Y7=" ",0,IF('Sources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23143050</v>
      </c>
      <c r="AE11" s="1613"/>
      <c r="AF11" s="1613"/>
      <c r="AG11" s="1613"/>
      <c r="AH11" s="1613"/>
      <c r="AI11" s="1613">
        <f>IF(AI7=" ",0,IF('Sources and Basis Breakdown'!I105+'Sources and Basis Breakdown'!J105='Sources and Basis Breakdown'!H105,'Sources and Basis Breakdown'!J105,0))</f>
        <v>0</v>
      </c>
      <c r="AJ11" s="1613"/>
      <c r="AK11" s="1613"/>
      <c r="AL11" s="1613"/>
      <c r="AM11" s="1613"/>
    </row>
    <row r="12" spans="1:40" ht="12.95" customHeight="1">
      <c r="B12" s="1616" t="s">
        <v>476</v>
      </c>
      <c r="C12" s="1033"/>
      <c r="D12" s="1033"/>
      <c r="E12" s="1033"/>
      <c r="F12" s="1033"/>
      <c r="G12" s="1033"/>
      <c r="H12" s="1033"/>
      <c r="I12" s="1033"/>
      <c r="J12" s="1033"/>
      <c r="K12" s="1033"/>
      <c r="L12" s="1033"/>
      <c r="M12" s="1033"/>
      <c r="N12" s="1033"/>
      <c r="O12" s="1033"/>
      <c r="P12" s="1033"/>
      <c r="Q12" s="1033"/>
      <c r="R12" s="1033"/>
      <c r="S12" s="1617"/>
      <c r="T12" s="1625"/>
      <c r="U12" s="1626"/>
      <c r="V12" s="1626"/>
      <c r="W12" s="1626"/>
      <c r="X12" s="1627"/>
      <c r="Y12" s="1625"/>
      <c r="Z12" s="1626"/>
      <c r="AA12" s="1626"/>
      <c r="AB12" s="1626"/>
      <c r="AC12" s="1627"/>
      <c r="AD12" s="1625"/>
      <c r="AE12" s="1626"/>
      <c r="AF12" s="1626"/>
      <c r="AG12" s="1626"/>
      <c r="AH12" s="1627"/>
      <c r="AI12" s="1625"/>
      <c r="AJ12" s="1626"/>
      <c r="AK12" s="1626"/>
      <c r="AL12" s="1626"/>
      <c r="AM12" s="1627"/>
    </row>
    <row r="13" spans="1:40" ht="12.95" customHeight="1">
      <c r="B13" s="8"/>
      <c r="C13" s="1618" t="s">
        <v>1788</v>
      </c>
      <c r="D13" s="1619"/>
      <c r="E13" s="1619"/>
      <c r="F13" s="1619"/>
      <c r="G13" s="1619"/>
      <c r="H13" s="1619"/>
      <c r="I13" s="1619"/>
      <c r="J13" s="1619"/>
      <c r="K13" s="1619"/>
      <c r="L13" s="1619"/>
      <c r="M13" s="1619"/>
      <c r="N13" s="1619"/>
      <c r="O13" s="1619"/>
      <c r="P13" s="1619"/>
      <c r="Q13" s="1619"/>
      <c r="R13" s="1619"/>
      <c r="S13" s="1620"/>
      <c r="T13" s="1623"/>
      <c r="U13" s="1624"/>
      <c r="V13" s="1624"/>
      <c r="W13" s="1624"/>
      <c r="X13" s="1624"/>
      <c r="Y13" s="1623"/>
      <c r="Z13" s="1624"/>
      <c r="AA13" s="1624"/>
      <c r="AB13" s="1624"/>
      <c r="AC13" s="1624"/>
      <c r="AD13" s="1624"/>
      <c r="AE13" s="1624"/>
      <c r="AF13" s="1624"/>
      <c r="AG13" s="1624"/>
      <c r="AH13" s="1624"/>
      <c r="AI13" s="1624"/>
      <c r="AJ13" s="1624"/>
      <c r="AK13" s="1624"/>
      <c r="AL13" s="1624"/>
      <c r="AM13" s="1624"/>
    </row>
    <row r="14" spans="1:40" ht="12.95" customHeight="1">
      <c r="B14" s="8"/>
      <c r="C14" s="1619" t="s">
        <v>804</v>
      </c>
      <c r="D14" s="1619"/>
      <c r="E14" s="1619"/>
      <c r="F14" s="1619"/>
      <c r="G14" s="1619"/>
      <c r="H14" s="1619"/>
      <c r="I14" s="1619"/>
      <c r="J14" s="1619"/>
      <c r="K14" s="1619"/>
      <c r="L14" s="1619"/>
      <c r="M14" s="1619"/>
      <c r="N14" s="1619"/>
      <c r="O14" s="1619"/>
      <c r="P14" s="1619"/>
      <c r="Q14" s="1619"/>
      <c r="R14" s="1619"/>
      <c r="S14" s="1620"/>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2.95" customHeight="1">
      <c r="B15" s="8"/>
      <c r="C15" s="1619" t="s">
        <v>805</v>
      </c>
      <c r="D15" s="1619"/>
      <c r="E15" s="1619"/>
      <c r="F15" s="1619"/>
      <c r="G15" s="1619"/>
      <c r="H15" s="1619"/>
      <c r="I15" s="1619"/>
      <c r="J15" s="1619"/>
      <c r="K15" s="1619"/>
      <c r="L15" s="1619"/>
      <c r="M15" s="1619"/>
      <c r="N15" s="1619"/>
      <c r="O15" s="1619"/>
      <c r="P15" s="1619"/>
      <c r="Q15" s="1619"/>
      <c r="R15" s="1619"/>
      <c r="S15" s="1620"/>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2.95" customHeight="1">
      <c r="B16" s="8"/>
      <c r="C16" s="1618" t="s">
        <v>1056</v>
      </c>
      <c r="D16" s="1618"/>
      <c r="E16" s="1618"/>
      <c r="F16" s="1618"/>
      <c r="G16" s="1618"/>
      <c r="H16" s="1618"/>
      <c r="I16" s="1618"/>
      <c r="J16" s="1618"/>
      <c r="K16" s="1618"/>
      <c r="L16" s="1618"/>
      <c r="M16" s="1618"/>
      <c r="N16" s="1618"/>
      <c r="O16" s="1618"/>
      <c r="P16" s="1618"/>
      <c r="Q16" s="1618"/>
      <c r="R16" s="1618"/>
      <c r="S16" s="1621"/>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2.95" customHeight="1">
      <c r="B17" s="8"/>
      <c r="C17" s="1619" t="s">
        <v>806</v>
      </c>
      <c r="D17" s="1619"/>
      <c r="E17" s="1619"/>
      <c r="F17" s="1619"/>
      <c r="G17" s="1619"/>
      <c r="H17" s="1619"/>
      <c r="I17" s="1619"/>
      <c r="J17" s="1619"/>
      <c r="K17" s="1619"/>
      <c r="L17" s="1619"/>
      <c r="M17" s="1619"/>
      <c r="N17" s="1619"/>
      <c r="O17" s="1619"/>
      <c r="P17" s="1619"/>
      <c r="Q17" s="1619"/>
      <c r="R17" s="1619"/>
      <c r="S17" s="1620"/>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2.95" customHeight="1">
      <c r="B18" s="959"/>
      <c r="C18" s="1593" t="s">
        <v>1268</v>
      </c>
      <c r="D18" s="1593"/>
      <c r="E18" s="1593"/>
      <c r="F18" s="1593"/>
      <c r="G18" s="1593"/>
      <c r="H18" s="1593"/>
      <c r="I18" s="1593"/>
      <c r="J18" s="1593"/>
      <c r="K18" s="1593"/>
      <c r="L18" s="1593"/>
      <c r="M18" s="1593"/>
      <c r="N18" s="1593"/>
      <c r="O18" s="1593"/>
      <c r="P18" s="1593"/>
      <c r="Q18" s="1593"/>
      <c r="R18" s="1593"/>
      <c r="S18" s="1594"/>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2.95" customHeight="1">
      <c r="B19" s="496"/>
      <c r="C19" s="1593" t="s">
        <v>1268</v>
      </c>
      <c r="D19" s="1593"/>
      <c r="E19" s="1593"/>
      <c r="F19" s="1593"/>
      <c r="G19" s="1593"/>
      <c r="H19" s="1593"/>
      <c r="I19" s="1593"/>
      <c r="J19" s="1593"/>
      <c r="K19" s="1593"/>
      <c r="L19" s="1593"/>
      <c r="M19" s="1593"/>
      <c r="N19" s="1593"/>
      <c r="O19" s="1593"/>
      <c r="P19" s="1593"/>
      <c r="Q19" s="1593"/>
      <c r="R19" s="1593"/>
      <c r="S19" s="1594"/>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5">
        <f>SUM(T13:X19)</f>
        <v>0</v>
      </c>
      <c r="U20" s="1128"/>
      <c r="V20" s="1128"/>
      <c r="W20" s="1128"/>
      <c r="X20" s="1128"/>
      <c r="Y20" s="1605">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1"/>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6">
        <f>(T20+T21)*-1</f>
        <v>0</v>
      </c>
      <c r="U22" s="1607"/>
      <c r="V22" s="1607"/>
      <c r="W22" s="1607"/>
      <c r="X22" s="1607"/>
      <c r="Y22" s="1606">
        <f>(Y20+Y21)*-1</f>
        <v>0</v>
      </c>
      <c r="Z22" s="1607"/>
      <c r="AA22" s="1607"/>
      <c r="AB22" s="1607"/>
      <c r="AC22" s="1607"/>
      <c r="AD22" s="1606">
        <f>(AD20+AD21)*-1</f>
        <v>0</v>
      </c>
      <c r="AE22" s="1607"/>
      <c r="AF22" s="1607"/>
      <c r="AG22" s="1607"/>
      <c r="AH22" s="1607"/>
      <c r="AI22" s="1614">
        <f>(AI20+AI21)*-1</f>
        <v>0</v>
      </c>
      <c r="AJ22" s="1615"/>
      <c r="AK22" s="1615"/>
      <c r="AL22" s="1615"/>
      <c r="AM22" s="1606"/>
    </row>
    <row r="23" spans="1:39" ht="12.95" customHeight="1">
      <c r="B23" s="1140" t="s">
        <v>2000</v>
      </c>
      <c r="C23" s="1141"/>
      <c r="D23" s="1141"/>
      <c r="E23" s="1141"/>
      <c r="F23" s="1141"/>
      <c r="G23" s="1141"/>
      <c r="H23" s="1141"/>
      <c r="I23" s="1141"/>
      <c r="J23" s="1141"/>
      <c r="K23" s="1141"/>
      <c r="L23" s="1141"/>
      <c r="M23" s="1141"/>
      <c r="N23" s="1141"/>
      <c r="O23" s="1141"/>
      <c r="P23" s="1141"/>
      <c r="Q23" s="1141"/>
      <c r="R23" s="1141"/>
      <c r="S23" s="1142"/>
      <c r="T23" s="1605">
        <f>T11+T22</f>
        <v>17755282</v>
      </c>
      <c r="U23" s="1128"/>
      <c r="V23" s="1128"/>
      <c r="W23" s="1128"/>
      <c r="X23" s="1128"/>
      <c r="Y23" s="1605">
        <f>Y11+Y22</f>
        <v>0</v>
      </c>
      <c r="Z23" s="1128"/>
      <c r="AA23" s="1128"/>
      <c r="AB23" s="1128"/>
      <c r="AC23" s="1128"/>
      <c r="AD23" s="1605">
        <f>IF(AD11=AD21,0,AD11)</f>
        <v>23143050</v>
      </c>
      <c r="AE23" s="1128"/>
      <c r="AF23" s="1128"/>
      <c r="AG23" s="1128"/>
      <c r="AH23" s="1128"/>
      <c r="AI23" s="1605">
        <f>IF(AI11=AI21,0,AI11)</f>
        <v>0</v>
      </c>
      <c r="AJ23" s="1128"/>
      <c r="AK23" s="1128"/>
      <c r="AL23" s="1128"/>
      <c r="AM23" s="1128"/>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3">
        <f>Application!AJ988</f>
        <v>42775502</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2002</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17755282</v>
      </c>
      <c r="U26" s="1608"/>
      <c r="V26" s="1608"/>
      <c r="W26" s="1608"/>
      <c r="X26" s="1608"/>
      <c r="Y26" s="1196">
        <f>Y23*Y25</f>
        <v>0</v>
      </c>
      <c r="Z26" s="1608"/>
      <c r="AA26" s="1608"/>
      <c r="AB26" s="1608"/>
      <c r="AC26" s="1608"/>
      <c r="AD26" s="1196">
        <f>AD23*AD25</f>
        <v>23143050</v>
      </c>
      <c r="AE26" s="1608"/>
      <c r="AF26" s="1608"/>
      <c r="AG26" s="1608"/>
      <c r="AH26" s="1608"/>
      <c r="AI26" s="1196">
        <f>AI23*AI25</f>
        <v>0</v>
      </c>
      <c r="AJ26" s="1608"/>
      <c r="AK26" s="1608"/>
      <c r="AL26" s="1608"/>
      <c r="AM26" s="1608"/>
    </row>
    <row r="27" spans="1:39" ht="12.95" customHeight="1">
      <c r="A27" s="4"/>
      <c r="B27" s="1598" t="s">
        <v>919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17755282</v>
      </c>
      <c r="U28" s="1608"/>
      <c r="V28" s="1608"/>
      <c r="W28" s="1608"/>
      <c r="X28" s="1608"/>
      <c r="Y28" s="1196">
        <f>IF(ISERROR((Y26*Y27)),0,(Y26*Y27))</f>
        <v>0</v>
      </c>
      <c r="Z28" s="1608"/>
      <c r="AA28" s="1608"/>
      <c r="AB28" s="1608"/>
      <c r="AC28" s="1608"/>
      <c r="AD28" s="1196">
        <f>IF(ISERROR((AD26*AD27)),0,(AD26*AD27))</f>
        <v>23143050</v>
      </c>
      <c r="AE28" s="1608"/>
      <c r="AF28" s="1608"/>
      <c r="AG28" s="1608"/>
      <c r="AH28" s="1608"/>
      <c r="AI28" s="1196">
        <f>IF(ISERROR((AI26*AI27)),0,(AI26*AI27))</f>
        <v>0</v>
      </c>
      <c r="AJ28" s="1608"/>
      <c r="AK28" s="1608"/>
      <c r="AL28" s="1608"/>
      <c r="AM28" s="1608"/>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3">
        <f>T28+Y28+AD28+AI28</f>
        <v>40898332</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42" t="s">
        <v>2001</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5" customHeight="1">
      <c r="B31" s="1643" t="s">
        <v>2003</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1678</v>
      </c>
      <c r="Z35" s="1612"/>
      <c r="AA35" s="1612"/>
      <c r="AB35" s="1612"/>
      <c r="AC35" s="1612"/>
      <c r="AD35" s="1185" t="s">
        <v>45</v>
      </c>
      <c r="AE35" s="1185"/>
      <c r="AF35" s="1185"/>
      <c r="AG35" s="1185"/>
      <c r="AH35" s="1185"/>
    </row>
    <row r="36" spans="1:44" ht="12.95" customHeight="1">
      <c r="B36" s="204"/>
      <c r="X36" s="71"/>
      <c r="Y36" s="1612"/>
      <c r="Z36" s="1612"/>
      <c r="AA36" s="1612"/>
      <c r="AB36" s="1612"/>
      <c r="AC36" s="1612"/>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185"/>
      <c r="AE37" s="1185"/>
      <c r="AF37" s="1185"/>
      <c r="AG37" s="1185"/>
      <c r="AH37" s="1185"/>
    </row>
    <row r="38" spans="1:44"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17755282</v>
      </c>
      <c r="Z38" s="1128"/>
      <c r="AA38" s="1128"/>
      <c r="AB38" s="1128"/>
      <c r="AC38" s="1128"/>
      <c r="AD38" s="1128">
        <f>IF(T24&gt;=(T23+Y23+AD23+AI23),AD28+AI28,0)</f>
        <v>23143050</v>
      </c>
      <c r="AE38" s="1128"/>
      <c r="AF38" s="1128"/>
      <c r="AG38" s="1128"/>
      <c r="AH38" s="1128"/>
    </row>
    <row r="39" spans="1:44" ht="12.95"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7">
        <v>0.09</v>
      </c>
      <c r="Z39" s="1647"/>
      <c r="AA39" s="1647"/>
      <c r="AB39" s="1647"/>
      <c r="AC39" s="1647"/>
      <c r="AD39" s="1647">
        <v>0.04</v>
      </c>
      <c r="AE39" s="1647"/>
      <c r="AF39" s="1647"/>
      <c r="AG39" s="1647"/>
      <c r="AH39" s="1647"/>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1597975</v>
      </c>
      <c r="Z40" s="1128"/>
      <c r="AA40" s="1128"/>
      <c r="AB40" s="1128"/>
      <c r="AC40" s="1128"/>
      <c r="AD40" s="1605">
        <f>ROUND(AD38*AD39,0)</f>
        <v>925722</v>
      </c>
      <c r="AE40" s="1128"/>
      <c r="AF40" s="1128"/>
      <c r="AG40" s="1128"/>
      <c r="AH40" s="1128"/>
    </row>
    <row r="41" spans="1:44"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3">
        <f>IF(Application!Y211="No",'Basis &amp; Credits'!AR42,AR43)</f>
        <v>2500000</v>
      </c>
      <c r="Z41" s="1604"/>
      <c r="AA41" s="1604"/>
      <c r="AB41" s="1604"/>
      <c r="AC41" s="1604"/>
      <c r="AD41" s="1604"/>
      <c r="AE41" s="1604"/>
      <c r="AF41" s="1604"/>
      <c r="AG41" s="1604"/>
      <c r="AH41" s="1605"/>
    </row>
    <row r="42" spans="1:44" ht="12.95" customHeight="1">
      <c r="A42" s="3"/>
      <c r="B42" s="1637" t="s">
        <v>1895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2500000</v>
      </c>
    </row>
    <row r="43" spans="1:44" ht="12.95" customHeight="1">
      <c r="B43" s="610"/>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R43">
        <f>IF((Y40+AD40)&gt;4000000,4000000,Y40+AD40)</f>
        <v>2523697</v>
      </c>
    </row>
    <row r="44" spans="1:44" ht="12.95" customHeight="1">
      <c r="A44" s="3"/>
      <c r="B44" s="610"/>
      <c r="C44" s="610"/>
      <c r="D44" s="610"/>
      <c r="E44" s="610"/>
      <c r="F44" s="610"/>
      <c r="G44" s="610"/>
      <c r="H44" s="610"/>
      <c r="I44" s="610"/>
      <c r="J44" s="610"/>
      <c r="K44" s="610"/>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44737740</v>
      </c>
      <c r="AC46" s="1158"/>
      <c r="AD46" s="1158"/>
      <c r="AE46" s="1158"/>
      <c r="AF46" s="1159"/>
    </row>
    <row r="47" spans="1:44" ht="12.95" customHeight="1">
      <c r="D47" s="3" t="s">
        <v>877</v>
      </c>
      <c r="AB47" s="1157">
        <f>Application!AO630-MAX(IF('Sources and Uses Budget'!B15="",0,'Sources and Uses Budget'!B15),IF(Application!AG387="",0,Application!AG387))</f>
        <v>20731292</v>
      </c>
      <c r="AC47" s="1158"/>
      <c r="AD47" s="1158"/>
      <c r="AE47" s="1158"/>
      <c r="AF47" s="1159"/>
    </row>
    <row r="48" spans="1:44" ht="12.95" customHeight="1">
      <c r="D48" s="3" t="s">
        <v>403</v>
      </c>
      <c r="AB48" s="1157">
        <f>AB46-AB47</f>
        <v>24006448</v>
      </c>
      <c r="AC48" s="1158"/>
      <c r="AD48" s="1158"/>
      <c r="AE48" s="1158"/>
      <c r="AF48" s="1159"/>
    </row>
    <row r="49" spans="1:40" ht="12.95" customHeight="1">
      <c r="D49" s="3" t="s">
        <v>912</v>
      </c>
      <c r="AA49" s="34"/>
      <c r="AB49" s="1632">
        <v>0.87</v>
      </c>
      <c r="AC49" s="1633"/>
      <c r="AD49" s="1633"/>
      <c r="AE49" s="1633"/>
      <c r="AF49" s="1634"/>
    </row>
    <row r="50" spans="1:40" s="324" customFormat="1" ht="12.95" customHeight="1">
      <c r="A50"/>
      <c r="B50"/>
      <c r="C50"/>
      <c r="D50"/>
      <c r="E50" s="1641" t="s">
        <v>2050</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8"/>
      <c r="AB50" s="358"/>
      <c r="AC50" s="358"/>
      <c r="AD50" s="358"/>
      <c r="AE50" s="358"/>
      <c r="AF50" s="358"/>
      <c r="AG50"/>
      <c r="AH50"/>
      <c r="AI50"/>
      <c r="AJ50"/>
      <c r="AK50"/>
      <c r="AL50"/>
      <c r="AM50"/>
      <c r="AN50"/>
    </row>
    <row r="51" spans="1:40" s="324" customFormat="1" ht="12.9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502"/>
      <c r="AB51" s="502"/>
      <c r="AC51" s="502"/>
      <c r="AD51" s="502"/>
      <c r="AE51" s="502"/>
      <c r="AF51" s="502"/>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27593618</v>
      </c>
      <c r="AC53" s="1158"/>
      <c r="AD53" s="1158"/>
      <c r="AE53" s="1158"/>
      <c r="AF53" s="1159"/>
    </row>
    <row r="54" spans="1:40" ht="12.95" customHeight="1">
      <c r="D54" s="3" t="s">
        <v>591</v>
      </c>
      <c r="AB54" s="1157">
        <f>(AB53/10)</f>
        <v>2759361.8</v>
      </c>
      <c r="AC54" s="1158"/>
      <c r="AD54" s="1158"/>
      <c r="AE54" s="1158"/>
      <c r="AF54" s="1159"/>
    </row>
    <row r="55" spans="1:40" ht="12.95" customHeight="1">
      <c r="D55" s="3" t="s">
        <v>362</v>
      </c>
      <c r="AB55" s="1638">
        <f>(IF((Y41&lt;AB54),Y41,AB54))</f>
        <v>2500000</v>
      </c>
      <c r="AC55" s="1639"/>
      <c r="AD55" s="1639"/>
      <c r="AE55" s="1639"/>
      <c r="AF55" s="1640"/>
    </row>
    <row r="56" spans="1:40" ht="12.95" customHeight="1">
      <c r="D56" s="3" t="s">
        <v>115</v>
      </c>
      <c r="AB56" s="1157">
        <f>ROUND((10*AB55*AB49),0)</f>
        <v>21750000</v>
      </c>
      <c r="AC56" s="1158"/>
      <c r="AD56" s="1158"/>
      <c r="AE56" s="1158"/>
      <c r="AF56" s="1159"/>
    </row>
    <row r="57" spans="1:40" ht="12.95" customHeight="1">
      <c r="D57" s="3"/>
      <c r="AB57" s="276"/>
      <c r="AC57" s="276"/>
      <c r="AD57" s="276"/>
      <c r="AE57" s="276"/>
      <c r="AF57" s="276"/>
    </row>
    <row r="58" spans="1:40" ht="12.95" customHeight="1">
      <c r="D58" s="3" t="s">
        <v>114</v>
      </c>
      <c r="AB58" s="1175">
        <f>AB48-AB56</f>
        <v>2256448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4" t="s">
        <v>1826</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5"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2.95" customHeight="1">
      <c r="A62" s="3" t="s">
        <v>130</v>
      </c>
      <c r="C62" s="3" t="s">
        <v>540</v>
      </c>
      <c r="Y62" s="1646" t="s">
        <v>316</v>
      </c>
      <c r="Z62" s="1646"/>
      <c r="AA62" s="1646"/>
      <c r="AB62" s="1646"/>
      <c r="AC62" s="1646"/>
      <c r="AD62" s="1646" t="s">
        <v>45</v>
      </c>
      <c r="AE62" s="1646"/>
      <c r="AF62" s="1646"/>
      <c r="AG62" s="1646"/>
      <c r="AH62" s="164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17755282</v>
      </c>
      <c r="Z63" s="1635"/>
      <c r="AA63" s="1635"/>
      <c r="AB63" s="1635"/>
      <c r="AC63" s="1635"/>
      <c r="AD63" s="1128">
        <f>IF(AND(T25=1.3,Application!D214="At-Risk"),AI28,IF(Application!D214&lt;&gt;"At-Risk",0,AD28))</f>
        <v>23143050</v>
      </c>
      <c r="AE63" s="1635"/>
      <c r="AF63" s="1635"/>
      <c r="AG63" s="1635"/>
      <c r="AH63" s="1635"/>
    </row>
    <row r="64" spans="1:40" ht="12.95" customHeight="1">
      <c r="C64" s="3"/>
      <c r="E64" s="1645" t="s">
        <v>1341</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984</v>
      </c>
      <c r="Y67" s="1128">
        <f>ROUND(Y63*Y66,0)</f>
        <v>5326585</v>
      </c>
      <c r="Z67" s="1635"/>
      <c r="AA67" s="1635"/>
      <c r="AB67" s="1635"/>
      <c r="AC67" s="1635"/>
      <c r="AD67" s="1128">
        <f>IF(OR(Application!D211="At-Risk",Application!D211="At-Risk/Located in Rural Census Tract",Application!D214="At-Risk"),ROUND(AD63*AD66,0),"$0")</f>
        <v>3008597</v>
      </c>
      <c r="AE67" s="1128"/>
      <c r="AF67" s="1128"/>
      <c r="AG67" s="1128"/>
      <c r="AH67" s="1128"/>
    </row>
    <row r="68" spans="1:34" ht="12.95" customHeight="1">
      <c r="C68" s="3"/>
      <c r="E68" s="814" t="s">
        <v>2004</v>
      </c>
      <c r="F68" s="344"/>
      <c r="G68" s="813"/>
      <c r="H68" s="813"/>
      <c r="I68" s="813"/>
      <c r="J68" s="813"/>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3"/>
    </row>
    <row r="69" spans="1:34" ht="12.95" customHeight="1">
      <c r="A69" s="3" t="s">
        <v>131</v>
      </c>
      <c r="C69" s="3" t="s">
        <v>270</v>
      </c>
      <c r="E69" s="813"/>
      <c r="F69" s="813"/>
      <c r="G69" s="813"/>
      <c r="H69" s="813"/>
      <c r="I69" s="813"/>
      <c r="J69" s="813"/>
      <c r="K69" s="813"/>
      <c r="L69" s="813"/>
      <c r="M69" s="813"/>
      <c r="N69" s="813"/>
      <c r="O69" s="813"/>
      <c r="P69" s="813"/>
      <c r="Q69" s="813"/>
      <c r="R69" s="813"/>
      <c r="S69" s="813"/>
      <c r="T69" s="813"/>
      <c r="U69" s="813"/>
      <c r="V69" s="813"/>
      <c r="W69" s="813"/>
      <c r="X69" s="813"/>
      <c r="Y69" s="813"/>
      <c r="Z69" s="813"/>
      <c r="AA69" s="813"/>
      <c r="AB69" s="813"/>
      <c r="AC69" s="813"/>
      <c r="AD69" s="813"/>
      <c r="AE69" s="813"/>
      <c r="AF69" s="813"/>
      <c r="AG69" s="813"/>
      <c r="AH69" s="813"/>
    </row>
    <row r="70" spans="1:34" ht="12.95" customHeight="1">
      <c r="A70" s="3"/>
      <c r="C70" s="3"/>
      <c r="D70" s="3" t="s">
        <v>913</v>
      </c>
      <c r="AB70" s="1632">
        <v>0.75</v>
      </c>
      <c r="AC70" s="1633"/>
      <c r="AD70" s="1633"/>
      <c r="AE70" s="1633"/>
      <c r="AF70" s="1634"/>
    </row>
    <row r="71" spans="1:34" ht="12.95" customHeight="1">
      <c r="A71" s="3"/>
      <c r="C71" s="3"/>
      <c r="D71" s="3"/>
      <c r="E71" s="1636" t="s">
        <v>1821</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8">
        <f>ROUND(IF(ISERROR((AB58/AB70)),0,(AB58/AB70)),0)</f>
        <v>3008597</v>
      </c>
      <c r="AC75" s="1518"/>
      <c r="AD75" s="1518"/>
      <c r="AE75" s="1518"/>
      <c r="AF75" s="1518"/>
    </row>
    <row r="76" spans="1:34" ht="12.95" customHeight="1">
      <c r="C76" s="3"/>
      <c r="D76" s="3" t="s">
        <v>113</v>
      </c>
      <c r="AB76" s="1535">
        <f>IF((Y67+AD67&lt;AB75),Y67+AD67,AB75)</f>
        <v>3008597</v>
      </c>
      <c r="AC76" s="1536"/>
      <c r="AD76" s="1536"/>
      <c r="AE76" s="1536"/>
      <c r="AF76" s="1537"/>
    </row>
    <row r="77" spans="1:34" ht="12.95" customHeight="1">
      <c r="C77" s="3"/>
      <c r="D77" s="3" t="s">
        <v>985</v>
      </c>
      <c r="AB77" s="1630">
        <f>AB76*AB70</f>
        <v>2256447.75</v>
      </c>
      <c r="AC77" s="1630"/>
      <c r="AD77" s="1630"/>
      <c r="AE77" s="1630"/>
      <c r="AF77" s="1630"/>
    </row>
    <row r="78" spans="1:34" ht="12.95" customHeight="1">
      <c r="C78" s="3"/>
      <c r="D78" s="3"/>
      <c r="AB78" s="611"/>
      <c r="AC78" s="611"/>
      <c r="AD78" s="611"/>
      <c r="AE78" s="611"/>
      <c r="AF78" s="611"/>
    </row>
    <row r="79" spans="1:34" ht="12.95" customHeight="1">
      <c r="D79" s="3" t="s">
        <v>114</v>
      </c>
      <c r="AB79" s="1175">
        <f>AB48-(AB56+AB77)</f>
        <v>0.25</v>
      </c>
      <c r="AC79" s="1175"/>
      <c r="AD79" s="1175"/>
      <c r="AE79" s="1175"/>
      <c r="AF79" s="1175"/>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L82" sqref="L82"/>
    </sheetView>
  </sheetViews>
  <sheetFormatPr defaultColWidth="8.85546875" defaultRowHeight="12" zeroHeight="1"/>
  <cols>
    <col min="1" max="1" width="32.5703125" style="495" customWidth="1"/>
    <col min="2" max="3" width="12.140625" style="493" customWidth="1"/>
    <col min="4" max="4" width="12.85546875" style="493" customWidth="1"/>
    <col min="5" max="6" width="12.7109375" style="493" customWidth="1"/>
    <col min="7" max="7" width="13.42578125" style="493" customWidth="1"/>
    <col min="8" max="9" width="12.140625" style="493" customWidth="1"/>
    <col min="10" max="10" width="12.140625" style="588" customWidth="1"/>
    <col min="11" max="11" width="7" style="594" customWidth="1"/>
    <col min="12" max="16384" width="8.85546875" style="493"/>
  </cols>
  <sheetData>
    <row r="1" spans="1:11" s="356" customFormat="1" ht="12.75">
      <c r="A1" s="1648" t="s">
        <v>1902</v>
      </c>
      <c r="B1" s="1649"/>
      <c r="C1" s="1649"/>
      <c r="D1" s="1649"/>
      <c r="E1" s="1649"/>
      <c r="F1" s="1649"/>
      <c r="G1" s="1649"/>
      <c r="H1" s="1649"/>
      <c r="I1" s="1649"/>
      <c r="J1" s="1650"/>
      <c r="K1" s="591"/>
    </row>
    <row r="2" spans="1:11" s="609" customFormat="1" ht="72">
      <c r="A2" s="607"/>
      <c r="B2" s="232" t="s">
        <v>1417</v>
      </c>
      <c r="C2" s="232" t="s">
        <v>1903</v>
      </c>
      <c r="D2" s="232" t="s">
        <v>1904</v>
      </c>
      <c r="E2" s="232" t="s">
        <v>1421</v>
      </c>
      <c r="F2" s="232" t="s">
        <v>1905</v>
      </c>
      <c r="G2" s="232" t="s">
        <v>1906</v>
      </c>
      <c r="H2" s="232" t="s">
        <v>1420</v>
      </c>
      <c r="I2" s="232" t="s">
        <v>1907</v>
      </c>
      <c r="J2" s="677" t="s">
        <v>1908</v>
      </c>
      <c r="K2" s="608"/>
    </row>
    <row r="3" spans="1:11" s="253" customFormat="1">
      <c r="A3" s="235" t="s">
        <v>364</v>
      </c>
      <c r="B3" s="596"/>
      <c r="C3" s="596"/>
      <c r="D3" s="596"/>
      <c r="E3" s="596"/>
      <c r="F3" s="596"/>
      <c r="G3" s="596"/>
      <c r="H3" s="596"/>
      <c r="I3" s="596"/>
      <c r="J3" s="596"/>
      <c r="K3" s="592"/>
    </row>
    <row r="4" spans="1:11" s="253" customFormat="1" ht="13.5">
      <c r="A4" s="300" t="s">
        <v>72</v>
      </c>
      <c r="B4" s="597">
        <f>'Sources and Uses Budget'!C4</f>
        <v>2449000</v>
      </c>
      <c r="C4" s="598"/>
      <c r="D4" s="598">
        <f>B4</f>
        <v>2449000</v>
      </c>
      <c r="E4" s="599"/>
      <c r="F4" s="599"/>
      <c r="G4" s="599"/>
      <c r="H4" s="599"/>
      <c r="I4" s="599"/>
      <c r="J4" s="599"/>
      <c r="K4" s="592"/>
    </row>
    <row r="5" spans="1:11" s="253" customFormat="1" ht="13.5">
      <c r="A5" s="300" t="s">
        <v>73</v>
      </c>
      <c r="B5" s="597">
        <f>'Sources and Uses Budget'!C5</f>
        <v>0</v>
      </c>
      <c r="C5" s="598"/>
      <c r="D5" s="598">
        <f t="shared" ref="D5:D7" si="0">B5</f>
        <v>0</v>
      </c>
      <c r="E5" s="599"/>
      <c r="F5" s="599"/>
      <c r="G5" s="599"/>
      <c r="H5" s="599"/>
      <c r="I5" s="599"/>
      <c r="J5" s="599"/>
      <c r="K5" s="592"/>
    </row>
    <row r="6" spans="1:11" s="253" customFormat="1">
      <c r="A6" s="239" t="s">
        <v>365</v>
      </c>
      <c r="B6" s="597">
        <f>'Sources and Uses Budget'!C6</f>
        <v>0</v>
      </c>
      <c r="C6" s="598"/>
      <c r="D6" s="598">
        <f t="shared" si="0"/>
        <v>0</v>
      </c>
      <c r="E6" s="599"/>
      <c r="F6" s="599"/>
      <c r="G6" s="599"/>
      <c r="H6" s="599"/>
      <c r="I6" s="599"/>
      <c r="J6" s="599"/>
      <c r="K6" s="592"/>
    </row>
    <row r="7" spans="1:11" s="253" customFormat="1">
      <c r="A7" s="239" t="s">
        <v>297</v>
      </c>
      <c r="B7" s="597">
        <f>'Sources and Uses Budget'!C7</f>
        <v>0</v>
      </c>
      <c r="C7" s="598"/>
      <c r="D7" s="598">
        <f t="shared" si="0"/>
        <v>0</v>
      </c>
      <c r="E7" s="599"/>
      <c r="F7" s="599"/>
      <c r="G7" s="599"/>
      <c r="H7" s="599"/>
      <c r="I7" s="599"/>
      <c r="J7" s="599"/>
      <c r="K7" s="592"/>
    </row>
    <row r="8" spans="1:11" s="253" customFormat="1" ht="13.5">
      <c r="A8" s="301" t="s">
        <v>739</v>
      </c>
      <c r="B8" s="597">
        <f>'Sources and Uses Budget'!C8</f>
        <v>2449000</v>
      </c>
      <c r="C8" s="597">
        <f>SUM(C4:C7)</f>
        <v>0</v>
      </c>
      <c r="D8" s="597">
        <f>SUM(D4:D7)</f>
        <v>2449000</v>
      </c>
      <c r="E8" s="599"/>
      <c r="F8" s="599"/>
      <c r="G8" s="599"/>
      <c r="H8" s="599"/>
      <c r="I8" s="599"/>
      <c r="J8" s="599"/>
      <c r="K8" s="592"/>
    </row>
    <row r="9" spans="1:11" s="253" customFormat="1">
      <c r="A9" s="239" t="s">
        <v>1796</v>
      </c>
      <c r="B9" s="597">
        <f>'Sources and Uses Budget'!C9</f>
        <v>22041000</v>
      </c>
      <c r="C9" s="598"/>
      <c r="D9" s="598">
        <f>B9</f>
        <v>22041000</v>
      </c>
      <c r="E9" s="599"/>
      <c r="F9" s="599"/>
      <c r="G9" s="599"/>
      <c r="H9" s="597">
        <f>'Sources and Uses Budget'!T9</f>
        <v>22041000</v>
      </c>
      <c r="I9" s="598"/>
      <c r="J9" s="598">
        <f>H9</f>
        <v>22041000</v>
      </c>
      <c r="K9" s="592"/>
    </row>
    <row r="10" spans="1:11" s="253" customFormat="1" ht="13.5">
      <c r="A10" s="300" t="s">
        <v>74</v>
      </c>
      <c r="B10" s="597">
        <f>'Sources and Uses Budget'!C10</f>
        <v>0</v>
      </c>
      <c r="C10" s="598"/>
      <c r="D10" s="598"/>
      <c r="E10" s="597">
        <f>'Sources and Uses Budget'!S10</f>
        <v>0</v>
      </c>
      <c r="F10" s="598"/>
      <c r="G10" s="598"/>
      <c r="H10" s="597">
        <f>'Sources and Uses Budget'!T10</f>
        <v>0</v>
      </c>
      <c r="I10" s="598"/>
      <c r="J10" s="598"/>
      <c r="K10" s="592"/>
    </row>
    <row r="11" spans="1:11" s="253" customFormat="1">
      <c r="A11" s="243" t="s">
        <v>616</v>
      </c>
      <c r="B11" s="597">
        <f>'Sources and Uses Budget'!C11</f>
        <v>22041000</v>
      </c>
      <c r="C11" s="597">
        <f>SUM(C9:C10)</f>
        <v>0</v>
      </c>
      <c r="D11" s="597">
        <f>SUM(D9:D10)</f>
        <v>22041000</v>
      </c>
      <c r="E11" s="599"/>
      <c r="F11" s="599"/>
      <c r="G11" s="599"/>
      <c r="H11" s="597">
        <f>'Sources and Uses Budget'!T11</f>
        <v>22041000</v>
      </c>
      <c r="I11" s="597">
        <f>SUM(I9:I10)</f>
        <v>0</v>
      </c>
      <c r="J11" s="597">
        <f>SUM(J9:J10)</f>
        <v>22041000</v>
      </c>
      <c r="K11" s="592"/>
    </row>
    <row r="12" spans="1:11" s="253" customFormat="1">
      <c r="A12" s="243" t="s">
        <v>746</v>
      </c>
      <c r="B12" s="597">
        <f>'Sources and Uses Budget'!C12</f>
        <v>24490000</v>
      </c>
      <c r="C12" s="597">
        <f>SUM(C8+C11)</f>
        <v>0</v>
      </c>
      <c r="D12" s="597">
        <f>SUM(D8+D11)</f>
        <v>24490000</v>
      </c>
      <c r="E12" s="599"/>
      <c r="F12" s="599"/>
      <c r="G12" s="599"/>
      <c r="H12" s="599"/>
      <c r="I12" s="599"/>
      <c r="J12" s="599"/>
      <c r="K12" s="592"/>
    </row>
    <row r="13" spans="1:11" s="253" customFormat="1">
      <c r="A13" s="467" t="s">
        <v>1156</v>
      </c>
      <c r="B13" s="597">
        <f>'Sources and Uses Budget'!C13</f>
        <v>0</v>
      </c>
      <c r="C13" s="598"/>
      <c r="D13" s="598"/>
      <c r="E13" s="597">
        <f>'Sources and Uses Budget'!S13</f>
        <v>0</v>
      </c>
      <c r="F13" s="598"/>
      <c r="G13" s="598"/>
      <c r="H13" s="597">
        <f>'Sources and Uses Budget'!T13</f>
        <v>0</v>
      </c>
      <c r="I13" s="598"/>
      <c r="J13" s="598"/>
      <c r="K13" s="592"/>
    </row>
    <row r="14" spans="1:11" s="253" customFormat="1" ht="24">
      <c r="A14" s="239" t="s">
        <v>1188</v>
      </c>
      <c r="B14" s="597">
        <f>'Sources and Uses Budget'!C14</f>
        <v>0</v>
      </c>
      <c r="C14" s="598"/>
      <c r="D14" s="598"/>
      <c r="E14" s="597">
        <f>'Sources and Uses Budget'!S14</f>
        <v>0</v>
      </c>
      <c r="F14" s="598"/>
      <c r="G14" s="598"/>
      <c r="H14" s="597">
        <f>'Sources and Uses Budget'!T14</f>
        <v>0</v>
      </c>
      <c r="I14" s="598"/>
      <c r="J14" s="598"/>
      <c r="K14" s="592"/>
    </row>
    <row r="15" spans="1:11" s="253" customFormat="1">
      <c r="A15" s="239" t="s">
        <v>1755</v>
      </c>
      <c r="B15" s="597">
        <f>'Sources and Uses Budget'!C15</f>
        <v>0</v>
      </c>
      <c r="C15" s="598"/>
      <c r="D15" s="598"/>
      <c r="E15" s="599">
        <f>'Sources and Uses Budget'!S15</f>
        <v>0</v>
      </c>
      <c r="F15" s="599"/>
      <c r="G15" s="599"/>
      <c r="H15" s="599">
        <f>'Sources and Uses Budget'!T15</f>
        <v>0</v>
      </c>
      <c r="I15" s="599"/>
      <c r="J15" s="599"/>
      <c r="K15" s="592"/>
    </row>
    <row r="16" spans="1:11" s="253" customFormat="1">
      <c r="A16" s="235" t="s">
        <v>952</v>
      </c>
      <c r="B16" s="596"/>
      <c r="C16" s="596"/>
      <c r="D16" s="596"/>
      <c r="E16" s="596"/>
      <c r="F16" s="596"/>
      <c r="G16" s="596"/>
      <c r="H16" s="596"/>
      <c r="I16" s="596"/>
      <c r="J16" s="596"/>
      <c r="K16" s="592"/>
    </row>
    <row r="17" spans="1:11" s="253" customFormat="1">
      <c r="A17" s="239" t="s">
        <v>953</v>
      </c>
      <c r="B17" s="597">
        <f>'Sources and Uses Budget'!C17</f>
        <v>0</v>
      </c>
      <c r="C17" s="598"/>
      <c r="D17" s="598">
        <f>B17</f>
        <v>0</v>
      </c>
      <c r="E17" s="597">
        <f>'Sources and Uses Budget'!S17</f>
        <v>0</v>
      </c>
      <c r="F17" s="598"/>
      <c r="G17" s="598">
        <f>E17</f>
        <v>0</v>
      </c>
      <c r="H17" s="597">
        <f>'Sources and Uses Budget'!T17</f>
        <v>0</v>
      </c>
      <c r="I17" s="598"/>
      <c r="J17" s="598"/>
      <c r="K17" s="592"/>
    </row>
    <row r="18" spans="1:11" s="253" customFormat="1">
      <c r="A18" s="239" t="s">
        <v>954</v>
      </c>
      <c r="B18" s="597">
        <f>'Sources and Uses Budget'!C18</f>
        <v>10950000</v>
      </c>
      <c r="C18" s="598"/>
      <c r="D18" s="598">
        <f t="shared" ref="D18:D24" si="1">B18</f>
        <v>10950000</v>
      </c>
      <c r="E18" s="597">
        <f>'Sources and Uses Budget'!S18</f>
        <v>10950000</v>
      </c>
      <c r="F18" s="598"/>
      <c r="G18" s="598">
        <f t="shared" ref="G18:G24" si="2">E18</f>
        <v>10950000</v>
      </c>
      <c r="H18" s="597">
        <f>'Sources and Uses Budget'!T18</f>
        <v>0</v>
      </c>
      <c r="I18" s="598"/>
      <c r="J18" s="598"/>
      <c r="K18" s="592"/>
    </row>
    <row r="19" spans="1:11" s="253" customFormat="1">
      <c r="A19" s="239" t="s">
        <v>955</v>
      </c>
      <c r="B19" s="597">
        <f>'Sources and Uses Budget'!C19</f>
        <v>657000</v>
      </c>
      <c r="C19" s="598"/>
      <c r="D19" s="598">
        <f t="shared" si="1"/>
        <v>657000</v>
      </c>
      <c r="E19" s="597">
        <f>'Sources and Uses Budget'!S19</f>
        <v>657000</v>
      </c>
      <c r="F19" s="598"/>
      <c r="G19" s="598">
        <f t="shared" si="2"/>
        <v>657000</v>
      </c>
      <c r="H19" s="597">
        <f>'Sources and Uses Budget'!T19</f>
        <v>0</v>
      </c>
      <c r="I19" s="598"/>
      <c r="J19" s="598"/>
      <c r="K19" s="592"/>
    </row>
    <row r="20" spans="1:11" s="253" customFormat="1">
      <c r="A20" s="239" t="s">
        <v>956</v>
      </c>
      <c r="B20" s="597">
        <f>'Sources and Uses Budget'!C20</f>
        <v>219000</v>
      </c>
      <c r="C20" s="598"/>
      <c r="D20" s="598">
        <f t="shared" si="1"/>
        <v>219000</v>
      </c>
      <c r="E20" s="597">
        <f>'Sources and Uses Budget'!S20</f>
        <v>219000</v>
      </c>
      <c r="F20" s="598"/>
      <c r="G20" s="598">
        <f t="shared" si="2"/>
        <v>219000</v>
      </c>
      <c r="H20" s="597">
        <f>'Sources and Uses Budget'!T20</f>
        <v>0</v>
      </c>
      <c r="I20" s="598"/>
      <c r="J20" s="598"/>
      <c r="K20" s="592"/>
    </row>
    <row r="21" spans="1:11" s="253" customFormat="1">
      <c r="A21" s="239" t="s">
        <v>957</v>
      </c>
      <c r="B21" s="597">
        <f>'Sources and Uses Budget'!C21</f>
        <v>657000</v>
      </c>
      <c r="C21" s="598"/>
      <c r="D21" s="598">
        <f t="shared" si="1"/>
        <v>657000</v>
      </c>
      <c r="E21" s="597">
        <f>'Sources and Uses Budget'!S21</f>
        <v>657000</v>
      </c>
      <c r="F21" s="598"/>
      <c r="G21" s="598">
        <f t="shared" si="2"/>
        <v>657000</v>
      </c>
      <c r="H21" s="597">
        <f>'Sources and Uses Budget'!T21</f>
        <v>0</v>
      </c>
      <c r="I21" s="598"/>
      <c r="J21" s="598"/>
      <c r="K21" s="592"/>
    </row>
    <row r="22" spans="1:11" s="253" customFormat="1">
      <c r="A22" s="239" t="s">
        <v>958</v>
      </c>
      <c r="B22" s="597">
        <f>'Sources and Uses Budget'!C22</f>
        <v>0</v>
      </c>
      <c r="C22" s="598"/>
      <c r="D22" s="598">
        <f t="shared" si="1"/>
        <v>0</v>
      </c>
      <c r="E22" s="597">
        <f>'Sources and Uses Budget'!S22</f>
        <v>0</v>
      </c>
      <c r="F22" s="598"/>
      <c r="G22" s="598">
        <f t="shared" si="2"/>
        <v>0</v>
      </c>
      <c r="H22" s="597">
        <f>'Sources and Uses Budget'!T22</f>
        <v>0</v>
      </c>
      <c r="I22" s="598"/>
      <c r="J22" s="598"/>
      <c r="K22" s="592"/>
    </row>
    <row r="23" spans="1:11" s="253" customFormat="1">
      <c r="A23" s="239" t="s">
        <v>959</v>
      </c>
      <c r="B23" s="597">
        <f>'Sources and Uses Budget'!C23</f>
        <v>124830</v>
      </c>
      <c r="C23" s="598"/>
      <c r="D23" s="598">
        <f t="shared" si="1"/>
        <v>124830</v>
      </c>
      <c r="E23" s="597">
        <f>'Sources and Uses Budget'!S23</f>
        <v>124830</v>
      </c>
      <c r="F23" s="598"/>
      <c r="G23" s="598">
        <f t="shared" si="2"/>
        <v>124830</v>
      </c>
      <c r="H23" s="597">
        <f>'Sources and Uses Budget'!T23</f>
        <v>0</v>
      </c>
      <c r="I23" s="598"/>
      <c r="J23" s="598"/>
      <c r="K23" s="592"/>
    </row>
    <row r="24" spans="1:11" s="253" customFormat="1">
      <c r="A24" s="239" t="str">
        <f>'Sources and Uses Budget'!$A25</f>
        <v>Other: P&amp;P Bonds</v>
      </c>
      <c r="B24" s="597">
        <f>'Sources and Uses Budget'!C25</f>
        <v>124830</v>
      </c>
      <c r="C24" s="598"/>
      <c r="D24" s="598">
        <f t="shared" si="1"/>
        <v>124830</v>
      </c>
      <c r="E24" s="597">
        <f>'Sources and Uses Budget'!S25</f>
        <v>124830</v>
      </c>
      <c r="F24" s="598"/>
      <c r="G24" s="598">
        <f t="shared" si="2"/>
        <v>124830</v>
      </c>
      <c r="H24" s="597">
        <f>'Sources and Uses Budget'!T25</f>
        <v>0</v>
      </c>
      <c r="I24" s="598"/>
      <c r="J24" s="598"/>
      <c r="K24" s="592"/>
    </row>
    <row r="25" spans="1:11" s="253" customFormat="1">
      <c r="A25" s="243" t="s">
        <v>237</v>
      </c>
      <c r="B25" s="597">
        <f>'Sources and Uses Budget'!C26</f>
        <v>12732660</v>
      </c>
      <c r="C25" s="597">
        <f>SUM(C17:C24)</f>
        <v>0</v>
      </c>
      <c r="D25" s="597">
        <f>SUM(D17:D24)</f>
        <v>12732660</v>
      </c>
      <c r="E25" s="597">
        <f>'Sources and Uses Budget'!S26</f>
        <v>12732660</v>
      </c>
      <c r="F25" s="600">
        <f>SUM(F17:F24)</f>
        <v>0</v>
      </c>
      <c r="G25" s="600">
        <f>SUM(G17:G24)</f>
        <v>12732660</v>
      </c>
      <c r="H25" s="597">
        <f>'Sources and Uses Budget'!T26</f>
        <v>0</v>
      </c>
      <c r="I25" s="600">
        <f>SUM(I17:I24)</f>
        <v>0</v>
      </c>
      <c r="J25" s="600">
        <f>SUM(J17:J24)</f>
        <v>0</v>
      </c>
      <c r="K25" s="592"/>
    </row>
    <row r="26" spans="1:11" s="253" customFormat="1">
      <c r="A26" s="243" t="s">
        <v>960</v>
      </c>
      <c r="B26" s="597">
        <f>'Sources and Uses Budget'!C27</f>
        <v>730000</v>
      </c>
      <c r="C26" s="598"/>
      <c r="D26" s="598">
        <f>B26</f>
        <v>730000</v>
      </c>
      <c r="E26" s="597">
        <f>'Sources and Uses Budget'!S27</f>
        <v>657000</v>
      </c>
      <c r="F26" s="598"/>
      <c r="G26" s="598">
        <f>E26</f>
        <v>657000</v>
      </c>
      <c r="H26" s="597">
        <f>'Sources and Uses Budget'!T27</f>
        <v>0</v>
      </c>
      <c r="I26" s="598"/>
      <c r="J26" s="598"/>
      <c r="K26" s="592"/>
    </row>
    <row r="27" spans="1:11" s="253" customFormat="1">
      <c r="A27" s="235" t="s">
        <v>961</v>
      </c>
      <c r="B27" s="596"/>
      <c r="C27" s="596"/>
      <c r="D27" s="596"/>
      <c r="E27" s="596"/>
      <c r="F27" s="596"/>
      <c r="G27" s="596"/>
      <c r="H27" s="596"/>
      <c r="I27" s="596"/>
      <c r="J27" s="596"/>
      <c r="K27" s="592"/>
    </row>
    <row r="28" spans="1:11" s="253" customFormat="1">
      <c r="A28" s="239" t="s">
        <v>953</v>
      </c>
      <c r="B28" s="597">
        <f>'Sources and Uses Budget'!C29</f>
        <v>0</v>
      </c>
      <c r="C28" s="598"/>
      <c r="D28" s="598"/>
      <c r="E28" s="597">
        <f>'Sources and Uses Budget'!S29</f>
        <v>0</v>
      </c>
      <c r="F28" s="598"/>
      <c r="G28" s="598"/>
      <c r="H28" s="597">
        <f>'Sources and Uses Budget'!T29</f>
        <v>0</v>
      </c>
      <c r="I28" s="598"/>
      <c r="J28" s="598"/>
      <c r="K28" s="592"/>
    </row>
    <row r="29" spans="1:11" s="253" customFormat="1">
      <c r="A29" s="239" t="s">
        <v>954</v>
      </c>
      <c r="B29" s="597">
        <f>'Sources and Uses Budget'!C30</f>
        <v>0</v>
      </c>
      <c r="C29" s="598"/>
      <c r="D29" s="598"/>
      <c r="E29" s="597">
        <f>'Sources and Uses Budget'!S30</f>
        <v>0</v>
      </c>
      <c r="F29" s="598"/>
      <c r="G29" s="598"/>
      <c r="H29" s="597">
        <f>'Sources and Uses Budget'!T30</f>
        <v>0</v>
      </c>
      <c r="I29" s="598"/>
      <c r="J29" s="598"/>
      <c r="K29" s="592"/>
    </row>
    <row r="30" spans="1:11" s="253" customFormat="1">
      <c r="A30" s="239" t="s">
        <v>955</v>
      </c>
      <c r="B30" s="597">
        <f>'Sources and Uses Budget'!C31</f>
        <v>0</v>
      </c>
      <c r="C30" s="598"/>
      <c r="D30" s="598"/>
      <c r="E30" s="597">
        <f>'Sources and Uses Budget'!S31</f>
        <v>0</v>
      </c>
      <c r="F30" s="598"/>
      <c r="G30" s="598"/>
      <c r="H30" s="597">
        <f>'Sources and Uses Budget'!T31</f>
        <v>0</v>
      </c>
      <c r="I30" s="598"/>
      <c r="J30" s="598"/>
      <c r="K30" s="592"/>
    </row>
    <row r="31" spans="1:11" s="253" customFormat="1">
      <c r="A31" s="239" t="s">
        <v>956</v>
      </c>
      <c r="B31" s="597">
        <f>'Sources and Uses Budget'!C32</f>
        <v>0</v>
      </c>
      <c r="C31" s="598"/>
      <c r="D31" s="598"/>
      <c r="E31" s="597">
        <f>'Sources and Uses Budget'!S32</f>
        <v>0</v>
      </c>
      <c r="F31" s="598"/>
      <c r="G31" s="598"/>
      <c r="H31" s="597">
        <f>'Sources and Uses Budget'!T32</f>
        <v>0</v>
      </c>
      <c r="I31" s="598"/>
      <c r="J31" s="598"/>
      <c r="K31" s="592"/>
    </row>
    <row r="32" spans="1:11" s="253" customFormat="1">
      <c r="A32" s="239" t="s">
        <v>957</v>
      </c>
      <c r="B32" s="597">
        <f>'Sources and Uses Budget'!C33</f>
        <v>0</v>
      </c>
      <c r="C32" s="598"/>
      <c r="D32" s="598"/>
      <c r="E32" s="597">
        <f>'Sources and Uses Budget'!S33</f>
        <v>0</v>
      </c>
      <c r="F32" s="598"/>
      <c r="G32" s="598"/>
      <c r="H32" s="597">
        <f>'Sources and Uses Budget'!T33</f>
        <v>0</v>
      </c>
      <c r="I32" s="598"/>
      <c r="J32" s="598"/>
      <c r="K32" s="592"/>
    </row>
    <row r="33" spans="1:11" s="253" customFormat="1">
      <c r="A33" s="239" t="s">
        <v>958</v>
      </c>
      <c r="B33" s="597">
        <f>'Sources and Uses Budget'!C34</f>
        <v>0</v>
      </c>
      <c r="C33" s="598"/>
      <c r="D33" s="598"/>
      <c r="E33" s="597">
        <f>'Sources and Uses Budget'!S34</f>
        <v>0</v>
      </c>
      <c r="F33" s="598"/>
      <c r="G33" s="598"/>
      <c r="H33" s="597">
        <f>'Sources and Uses Budget'!T34</f>
        <v>0</v>
      </c>
      <c r="I33" s="598"/>
      <c r="J33" s="598"/>
      <c r="K33" s="592"/>
    </row>
    <row r="34" spans="1:11" s="253" customFormat="1">
      <c r="A34" s="239" t="s">
        <v>959</v>
      </c>
      <c r="B34" s="597">
        <f>'Sources and Uses Budget'!C35</f>
        <v>0</v>
      </c>
      <c r="C34" s="598"/>
      <c r="D34" s="598"/>
      <c r="E34" s="597">
        <f>'Sources and Uses Budget'!S35</f>
        <v>0</v>
      </c>
      <c r="F34" s="598"/>
      <c r="G34" s="598"/>
      <c r="H34" s="597">
        <f>'Sources and Uses Budget'!T35</f>
        <v>0</v>
      </c>
      <c r="I34" s="598"/>
      <c r="J34" s="598"/>
      <c r="K34" s="592"/>
    </row>
    <row r="35" spans="1:11" s="253" customFormat="1">
      <c r="A35" s="239" t="str">
        <f>'Sources and Uses Budget'!$A36</f>
        <v>Third-party Construction Management</v>
      </c>
      <c r="B35" s="597">
        <f>'Sources and Uses Budget'!C36</f>
        <v>0</v>
      </c>
      <c r="C35" s="598"/>
      <c r="D35" s="598"/>
      <c r="E35" s="597">
        <f>'Sources and Uses Budget'!S36</f>
        <v>0</v>
      </c>
      <c r="F35" s="598"/>
      <c r="G35" s="598"/>
      <c r="H35" s="597">
        <f>'Sources and Uses Budget'!T36</f>
        <v>0</v>
      </c>
      <c r="I35" s="598"/>
      <c r="J35" s="598"/>
      <c r="K35" s="592"/>
    </row>
    <row r="36" spans="1:11" s="253" customFormat="1">
      <c r="A36" s="239" t="str">
        <f>'Sources and Uses Budget'!$A37</f>
        <v>Other: (Specify)</v>
      </c>
      <c r="B36" s="597">
        <f>'Sources and Uses Budget'!C37</f>
        <v>0</v>
      </c>
      <c r="C36" s="598"/>
      <c r="D36" s="598"/>
      <c r="E36" s="597">
        <f>'Sources and Uses Budget'!S37</f>
        <v>0</v>
      </c>
      <c r="F36" s="598"/>
      <c r="G36" s="598"/>
      <c r="H36" s="597">
        <f>'Sources and Uses Budget'!T37</f>
        <v>0</v>
      </c>
      <c r="I36" s="598"/>
      <c r="J36" s="598"/>
      <c r="K36" s="592"/>
    </row>
    <row r="37" spans="1:11" s="253" customFormat="1">
      <c r="A37" s="243" t="s">
        <v>962</v>
      </c>
      <c r="B37" s="597">
        <f>'Sources and Uses Budget'!C38</f>
        <v>0</v>
      </c>
      <c r="C37" s="597">
        <f>SUM(C28:C36)</f>
        <v>0</v>
      </c>
      <c r="D37" s="597">
        <f>SUM(D28:D36)</f>
        <v>0</v>
      </c>
      <c r="E37" s="597">
        <f>'Sources and Uses Budget'!S38</f>
        <v>0</v>
      </c>
      <c r="F37" s="600">
        <f>SUM(F28:F36)</f>
        <v>0</v>
      </c>
      <c r="G37" s="600">
        <f>SUM(G28:G36)</f>
        <v>0</v>
      </c>
      <c r="H37" s="597">
        <f>'Sources and Uses Budget'!T38</f>
        <v>0</v>
      </c>
      <c r="I37" s="600">
        <f>SUM(I28:I36)</f>
        <v>0</v>
      </c>
      <c r="J37" s="600">
        <f>SUM(J28:J36)</f>
        <v>0</v>
      </c>
      <c r="K37" s="592"/>
    </row>
    <row r="38" spans="1:11" s="253" customFormat="1">
      <c r="A38" s="235" t="s">
        <v>963</v>
      </c>
      <c r="B38" s="596"/>
      <c r="C38" s="596"/>
      <c r="D38" s="596"/>
      <c r="E38" s="596"/>
      <c r="F38" s="596"/>
      <c r="G38" s="596"/>
      <c r="H38" s="596"/>
      <c r="I38" s="596"/>
      <c r="J38" s="596"/>
      <c r="K38" s="592"/>
    </row>
    <row r="39" spans="1:11" s="253" customFormat="1">
      <c r="A39" s="239" t="s">
        <v>964</v>
      </c>
      <c r="B39" s="597">
        <f>'Sources and Uses Budget'!C40</f>
        <v>175000</v>
      </c>
      <c r="C39" s="598"/>
      <c r="D39" s="598">
        <f>B39</f>
        <v>175000</v>
      </c>
      <c r="E39" s="597">
        <f>'Sources and Uses Budget'!S40</f>
        <v>175000</v>
      </c>
      <c r="F39" s="598"/>
      <c r="G39" s="598">
        <f>E39</f>
        <v>175000</v>
      </c>
      <c r="H39" s="597">
        <f>'Sources and Uses Budget'!T40</f>
        <v>0</v>
      </c>
      <c r="I39" s="598"/>
      <c r="J39" s="598"/>
      <c r="K39" s="592"/>
    </row>
    <row r="40" spans="1:11" s="253" customFormat="1">
      <c r="A40" s="239" t="s">
        <v>965</v>
      </c>
      <c r="B40" s="597">
        <f>'Sources and Uses Budget'!C41</f>
        <v>50000</v>
      </c>
      <c r="C40" s="598"/>
      <c r="D40" s="598">
        <f>B40</f>
        <v>50000</v>
      </c>
      <c r="E40" s="597">
        <f>'Sources and Uses Budget'!S41</f>
        <v>50000</v>
      </c>
      <c r="F40" s="598"/>
      <c r="G40" s="598">
        <f>E40</f>
        <v>50000</v>
      </c>
      <c r="H40" s="597">
        <f>'Sources and Uses Budget'!T41</f>
        <v>0</v>
      </c>
      <c r="I40" s="598"/>
      <c r="J40" s="598"/>
      <c r="K40" s="592"/>
    </row>
    <row r="41" spans="1:11" s="253" customFormat="1">
      <c r="A41" s="243" t="s">
        <v>966</v>
      </c>
      <c r="B41" s="597">
        <f>'Sources and Uses Budget'!C42</f>
        <v>225000</v>
      </c>
      <c r="C41" s="597">
        <f>SUM(C38:C40)</f>
        <v>0</v>
      </c>
      <c r="D41" s="597">
        <f>SUM(D38:D40)</f>
        <v>225000</v>
      </c>
      <c r="E41" s="597">
        <f>'Sources and Uses Budget'!S42</f>
        <v>225000</v>
      </c>
      <c r="F41" s="600">
        <f>SUM(F39:F40)</f>
        <v>0</v>
      </c>
      <c r="G41" s="600">
        <f>SUM(G39:G40)</f>
        <v>225000</v>
      </c>
      <c r="H41" s="597">
        <f>'Sources and Uses Budget'!T42</f>
        <v>0</v>
      </c>
      <c r="I41" s="600">
        <f>SUM(I39:I40)</f>
        <v>0</v>
      </c>
      <c r="J41" s="600">
        <f>SUM(J39:J40)</f>
        <v>0</v>
      </c>
      <c r="K41" s="592"/>
    </row>
    <row r="42" spans="1:11" s="253" customFormat="1">
      <c r="A42" s="243" t="s">
        <v>967</v>
      </c>
      <c r="B42" s="597">
        <f>'Sources and Uses Budget'!C43</f>
        <v>100000</v>
      </c>
      <c r="C42" s="598"/>
      <c r="D42" s="598">
        <f>B42</f>
        <v>100000</v>
      </c>
      <c r="E42" s="597">
        <f>'Sources and Uses Budget'!S43</f>
        <v>100000</v>
      </c>
      <c r="F42" s="598"/>
      <c r="G42" s="598">
        <f>E42</f>
        <v>100000</v>
      </c>
      <c r="H42" s="597">
        <f>'Sources and Uses Budget'!T43</f>
        <v>0</v>
      </c>
      <c r="I42" s="598"/>
      <c r="J42" s="598"/>
      <c r="K42" s="592"/>
    </row>
    <row r="43" spans="1:11" s="253" customFormat="1">
      <c r="A43" s="235" t="s">
        <v>968</v>
      </c>
      <c r="B43" s="596"/>
      <c r="C43" s="596"/>
      <c r="D43" s="596"/>
      <c r="E43" s="596"/>
      <c r="F43" s="596"/>
      <c r="G43" s="596"/>
      <c r="H43" s="596"/>
      <c r="I43" s="596"/>
      <c r="J43" s="596"/>
      <c r="K43" s="592"/>
    </row>
    <row r="44" spans="1:11" s="253" customFormat="1">
      <c r="A44" s="239" t="s">
        <v>969</v>
      </c>
      <c r="B44" s="597">
        <f>'Sources and Uses Budget'!C45</f>
        <v>1162495</v>
      </c>
      <c r="C44" s="598"/>
      <c r="D44" s="598">
        <f>B44</f>
        <v>1162495</v>
      </c>
      <c r="E44" s="597">
        <f>'Sources and Uses Budget'!S45</f>
        <v>639372</v>
      </c>
      <c r="F44" s="598"/>
      <c r="G44" s="598">
        <f>E44</f>
        <v>639372</v>
      </c>
      <c r="H44" s="597">
        <f>'Sources and Uses Budget'!T45</f>
        <v>0</v>
      </c>
      <c r="I44" s="598"/>
      <c r="J44" s="598"/>
      <c r="K44" s="592"/>
    </row>
    <row r="45" spans="1:11" s="253" customFormat="1">
      <c r="A45" s="239" t="s">
        <v>970</v>
      </c>
      <c r="B45" s="597">
        <f>'Sources and Uses Budget'!C46</f>
        <v>185000</v>
      </c>
      <c r="C45" s="598"/>
      <c r="D45" s="598">
        <f t="shared" ref="D45:D51" si="3">B45</f>
        <v>185000</v>
      </c>
      <c r="E45" s="597">
        <f>'Sources and Uses Budget'!S46</f>
        <v>185000</v>
      </c>
      <c r="F45" s="598"/>
      <c r="G45" s="598">
        <f t="shared" ref="G45:G51" si="4">E45</f>
        <v>185000</v>
      </c>
      <c r="H45" s="597">
        <f>'Sources and Uses Budget'!T46</f>
        <v>0</v>
      </c>
      <c r="I45" s="598"/>
      <c r="J45" s="598"/>
      <c r="K45" s="592"/>
    </row>
    <row r="46" spans="1:11" s="253" customFormat="1" ht="12" customHeight="1">
      <c r="A46" s="239" t="s">
        <v>971</v>
      </c>
      <c r="B46" s="597">
        <f>'Sources and Uses Budget'!C47</f>
        <v>20000</v>
      </c>
      <c r="C46" s="598"/>
      <c r="D46" s="598">
        <f t="shared" si="3"/>
        <v>20000</v>
      </c>
      <c r="E46" s="597">
        <f>'Sources and Uses Budget'!S47</f>
        <v>20000</v>
      </c>
      <c r="F46" s="598"/>
      <c r="G46" s="598">
        <f t="shared" si="4"/>
        <v>20000</v>
      </c>
      <c r="H46" s="597">
        <f>'Sources and Uses Budget'!T47</f>
        <v>0</v>
      </c>
      <c r="I46" s="598"/>
      <c r="J46" s="598"/>
      <c r="K46" s="592"/>
    </row>
    <row r="47" spans="1:11" s="253" customFormat="1">
      <c r="A47" s="239" t="s">
        <v>972</v>
      </c>
      <c r="B47" s="597">
        <f>'Sources and Uses Budget'!C48</f>
        <v>0</v>
      </c>
      <c r="C47" s="598"/>
      <c r="D47" s="598">
        <f t="shared" si="3"/>
        <v>0</v>
      </c>
      <c r="E47" s="597">
        <f>'Sources and Uses Budget'!S48</f>
        <v>0</v>
      </c>
      <c r="F47" s="598"/>
      <c r="G47" s="598">
        <f t="shared" si="4"/>
        <v>0</v>
      </c>
      <c r="H47" s="597">
        <f>'Sources and Uses Budget'!T48</f>
        <v>0</v>
      </c>
      <c r="I47" s="598"/>
      <c r="J47" s="598"/>
      <c r="K47" s="592"/>
    </row>
    <row r="48" spans="1:11" s="253" customFormat="1">
      <c r="A48" s="239" t="s">
        <v>975</v>
      </c>
      <c r="B48" s="597">
        <f>'Sources and Uses Budget'!C49</f>
        <v>20000</v>
      </c>
      <c r="C48" s="598"/>
      <c r="D48" s="598">
        <f t="shared" si="3"/>
        <v>20000</v>
      </c>
      <c r="E48" s="597">
        <f>'Sources and Uses Budget'!S49</f>
        <v>20000</v>
      </c>
      <c r="F48" s="598"/>
      <c r="G48" s="598">
        <f t="shared" si="4"/>
        <v>20000</v>
      </c>
      <c r="H48" s="597">
        <f>'Sources and Uses Budget'!T49</f>
        <v>0</v>
      </c>
      <c r="I48" s="598"/>
      <c r="J48" s="598"/>
      <c r="K48" s="592"/>
    </row>
    <row r="49" spans="1:11" s="253" customFormat="1">
      <c r="A49" s="239" t="s">
        <v>973</v>
      </c>
      <c r="B49" s="597">
        <f>'Sources and Uses Budget'!C50</f>
        <v>0</v>
      </c>
      <c r="C49" s="598"/>
      <c r="D49" s="598">
        <f t="shared" si="3"/>
        <v>0</v>
      </c>
      <c r="E49" s="597">
        <f>'Sources and Uses Budget'!S50</f>
        <v>0</v>
      </c>
      <c r="F49" s="598"/>
      <c r="G49" s="598">
        <f t="shared" si="4"/>
        <v>0</v>
      </c>
      <c r="H49" s="597">
        <f>'Sources and Uses Budget'!T50</f>
        <v>0</v>
      </c>
      <c r="I49" s="598"/>
      <c r="J49" s="598"/>
      <c r="K49" s="592"/>
    </row>
    <row r="50" spans="1:11" s="253" customFormat="1">
      <c r="A50" s="239" t="s">
        <v>974</v>
      </c>
      <c r="B50" s="597">
        <f>'Sources and Uses Budget'!C51</f>
        <v>0</v>
      </c>
      <c r="C50" s="598"/>
      <c r="D50" s="598">
        <f t="shared" si="3"/>
        <v>0</v>
      </c>
      <c r="E50" s="597">
        <f>'Sources and Uses Budget'!S51</f>
        <v>0</v>
      </c>
      <c r="F50" s="598"/>
      <c r="G50" s="598">
        <f t="shared" si="4"/>
        <v>0</v>
      </c>
      <c r="H50" s="597">
        <f>'Sources and Uses Budget'!T51</f>
        <v>0</v>
      </c>
      <c r="I50" s="598"/>
      <c r="J50" s="598"/>
      <c r="K50" s="592"/>
    </row>
    <row r="51" spans="1:11" s="253" customFormat="1">
      <c r="A51" s="239" t="str">
        <f>'Sources and Uses Budget'!$A52</f>
        <v>Other: Lender Inspections</v>
      </c>
      <c r="B51" s="597">
        <f>'Sources and Uses Budget'!C52</f>
        <v>25000</v>
      </c>
      <c r="C51" s="598"/>
      <c r="D51" s="598">
        <f t="shared" si="3"/>
        <v>25000</v>
      </c>
      <c r="E51" s="597">
        <f>'Sources and Uses Budget'!S52</f>
        <v>25000</v>
      </c>
      <c r="F51" s="598"/>
      <c r="G51" s="598">
        <f t="shared" si="4"/>
        <v>25000</v>
      </c>
      <c r="H51" s="597">
        <f>'Sources and Uses Budget'!T52</f>
        <v>0</v>
      </c>
      <c r="I51" s="598"/>
      <c r="J51" s="598"/>
      <c r="K51" s="592"/>
    </row>
    <row r="52" spans="1:11" s="590" customFormat="1">
      <c r="A52" s="243" t="s">
        <v>976</v>
      </c>
      <c r="B52" s="597">
        <f>'Sources and Uses Budget'!C53</f>
        <v>1412495</v>
      </c>
      <c r="C52" s="600">
        <f>SUM(C44:C51)</f>
        <v>0</v>
      </c>
      <c r="D52" s="600">
        <f>SUM(D44:D51)</f>
        <v>1412495</v>
      </c>
      <c r="E52" s="597">
        <f>'Sources and Uses Budget'!S53</f>
        <v>889372</v>
      </c>
      <c r="F52" s="600">
        <f>SUM(F44:F51)</f>
        <v>0</v>
      </c>
      <c r="G52" s="600">
        <f>SUM(G44:G51)</f>
        <v>889372</v>
      </c>
      <c r="H52" s="597">
        <f>'Sources and Uses Budget'!T53</f>
        <v>0</v>
      </c>
      <c r="I52" s="600">
        <f>SUM(I44:I51)</f>
        <v>0</v>
      </c>
      <c r="J52" s="600">
        <f>SUM(J44:J51)</f>
        <v>0</v>
      </c>
      <c r="K52" s="593"/>
    </row>
    <row r="53" spans="1:11" s="253" customFormat="1">
      <c r="A53" s="235" t="s">
        <v>718</v>
      </c>
      <c r="B53" s="596"/>
      <c r="C53" s="596"/>
      <c r="D53" s="596"/>
      <c r="E53" s="596"/>
      <c r="F53" s="596"/>
      <c r="G53" s="596"/>
      <c r="H53" s="596"/>
      <c r="I53" s="596"/>
      <c r="J53" s="596"/>
      <c r="K53" s="592"/>
    </row>
    <row r="54" spans="1:11" s="253" customFormat="1">
      <c r="A54" s="239" t="s">
        <v>977</v>
      </c>
      <c r="B54" s="597">
        <f>'Sources and Uses Budget'!C55</f>
        <v>109750</v>
      </c>
      <c r="C54" s="598"/>
      <c r="D54" s="598">
        <f>B54</f>
        <v>109750</v>
      </c>
      <c r="E54" s="599"/>
      <c r="F54" s="599"/>
      <c r="G54" s="599"/>
      <c r="H54" s="599"/>
      <c r="I54" s="599"/>
      <c r="J54" s="599"/>
      <c r="K54" s="592"/>
    </row>
    <row r="55" spans="1:11" s="253" customFormat="1" ht="12" customHeight="1">
      <c r="A55" s="239" t="s">
        <v>971</v>
      </c>
      <c r="B55" s="597">
        <f>'Sources and Uses Budget'!C56</f>
        <v>0</v>
      </c>
      <c r="C55" s="598"/>
      <c r="D55" s="598"/>
      <c r="E55" s="599"/>
      <c r="F55" s="599"/>
      <c r="G55" s="599"/>
      <c r="H55" s="599"/>
      <c r="I55" s="599"/>
      <c r="J55" s="599"/>
      <c r="K55" s="592"/>
    </row>
    <row r="56" spans="1:11" s="253" customFormat="1">
      <c r="A56" s="239" t="s">
        <v>975</v>
      </c>
      <c r="B56" s="597">
        <f>'Sources and Uses Budget'!C57</f>
        <v>0</v>
      </c>
      <c r="C56" s="598"/>
      <c r="D56" s="598"/>
      <c r="E56" s="599"/>
      <c r="F56" s="599"/>
      <c r="G56" s="599"/>
      <c r="H56" s="599"/>
      <c r="I56" s="599"/>
      <c r="J56" s="599"/>
      <c r="K56" s="592"/>
    </row>
    <row r="57" spans="1:11" s="253" customFormat="1">
      <c r="A57" s="239" t="s">
        <v>973</v>
      </c>
      <c r="B57" s="597">
        <f>'Sources and Uses Budget'!C58</f>
        <v>0</v>
      </c>
      <c r="C57" s="598"/>
      <c r="D57" s="598"/>
      <c r="E57" s="599"/>
      <c r="F57" s="599"/>
      <c r="G57" s="599"/>
      <c r="H57" s="599"/>
      <c r="I57" s="599"/>
      <c r="J57" s="599"/>
      <c r="K57" s="592"/>
    </row>
    <row r="58" spans="1:11" s="253" customFormat="1">
      <c r="A58" s="239" t="s">
        <v>974</v>
      </c>
      <c r="B58" s="597">
        <f>'Sources and Uses Budget'!C59</f>
        <v>0</v>
      </c>
      <c r="C58" s="598"/>
      <c r="D58" s="598"/>
      <c r="E58" s="599"/>
      <c r="F58" s="599"/>
      <c r="G58" s="599"/>
      <c r="H58" s="599"/>
      <c r="I58" s="599"/>
      <c r="J58" s="599"/>
      <c r="K58" s="592"/>
    </row>
    <row r="59" spans="1:11" s="253" customFormat="1">
      <c r="A59" s="239" t="str">
        <f>'Sources and Uses Budget'!$A60</f>
        <v>Other: (Specify)</v>
      </c>
      <c r="B59" s="597">
        <f>'Sources and Uses Budget'!C60</f>
        <v>0</v>
      </c>
      <c r="C59" s="598"/>
      <c r="D59" s="598"/>
      <c r="E59" s="599"/>
      <c r="F59" s="599"/>
      <c r="G59" s="599"/>
      <c r="H59" s="599"/>
      <c r="I59" s="599"/>
      <c r="J59" s="599"/>
      <c r="K59" s="592"/>
    </row>
    <row r="60" spans="1:11" s="253" customFormat="1" ht="13.9" customHeight="1">
      <c r="A60" s="243" t="s">
        <v>529</v>
      </c>
      <c r="B60" s="597">
        <f>'Sources and Uses Budget'!C61</f>
        <v>109750</v>
      </c>
      <c r="C60" s="597">
        <f>SUM(C54:C59)</f>
        <v>0</v>
      </c>
      <c r="D60" s="597">
        <f>SUM(D54:D59)</f>
        <v>109750</v>
      </c>
      <c r="E60" s="599"/>
      <c r="F60" s="599"/>
      <c r="G60" s="599"/>
      <c r="H60" s="599"/>
      <c r="I60" s="599"/>
      <c r="J60" s="599"/>
      <c r="K60" s="592"/>
    </row>
    <row r="61" spans="1:11" s="253" customFormat="1">
      <c r="A61" s="249" t="s">
        <v>530</v>
      </c>
      <c r="B61" s="597">
        <f>'Sources and Uses Budget'!C62</f>
        <v>39799905</v>
      </c>
      <c r="C61" s="597">
        <f>SUM(C8+C11+C13+C14+C15+C25+C26+C37+C41+C42+C52+C60)</f>
        <v>0</v>
      </c>
      <c r="D61" s="597">
        <f>SUM(D8+D11+D13+D14+D15+D25+D26+D37+D41+D42+D52+D60)</f>
        <v>39799905</v>
      </c>
      <c r="E61" s="597">
        <f>'Sources and Uses Budget'!S62</f>
        <v>14604032</v>
      </c>
      <c r="F61" s="597">
        <f>SUM(F10+F13+F14+F15+F25+F26+F37+F41+F42+F52)</f>
        <v>0</v>
      </c>
      <c r="G61" s="597">
        <f>SUM(G10+G13+G14+G15+G25+G26+G37+G41+G42+G52)</f>
        <v>14604032</v>
      </c>
      <c r="H61" s="597">
        <f>'Sources and Uses Budget'!T62</f>
        <v>22041000</v>
      </c>
      <c r="I61" s="597">
        <f>SUM(I11+I13+I14+I15+I25+I26+I37+I41+I42+I52)</f>
        <v>0</v>
      </c>
      <c r="J61" s="597">
        <f>SUM(J11+J13+J14+J15+J25+J26+J37+J41+J42+J52)</f>
        <v>22041000</v>
      </c>
      <c r="K61" s="592"/>
    </row>
    <row r="62" spans="1:11" s="253" customFormat="1" ht="24">
      <c r="A62" s="235" t="s">
        <v>2052</v>
      </c>
      <c r="B62" s="596"/>
      <c r="C62" s="596"/>
      <c r="D62" s="596"/>
      <c r="E62" s="596"/>
      <c r="F62" s="596"/>
      <c r="G62" s="596"/>
      <c r="H62" s="596"/>
      <c r="I62" s="596"/>
      <c r="J62" s="596"/>
      <c r="K62" s="592"/>
    </row>
    <row r="63" spans="1:11" s="253" customFormat="1">
      <c r="A63" s="239" t="s">
        <v>299</v>
      </c>
      <c r="B63" s="597">
        <f>'Sources and Uses Budget'!C64</f>
        <v>100000</v>
      </c>
      <c r="C63" s="598"/>
      <c r="D63" s="598">
        <f>B63</f>
        <v>100000</v>
      </c>
      <c r="E63" s="597">
        <f>'Sources and Uses Budget'!S64</f>
        <v>25000</v>
      </c>
      <c r="F63" s="598"/>
      <c r="G63" s="598">
        <f>E63</f>
        <v>25000</v>
      </c>
      <c r="H63" s="597">
        <f>'Sources and Uses Budget'!T64</f>
        <v>0</v>
      </c>
      <c r="I63" s="598"/>
      <c r="J63" s="598"/>
      <c r="K63" s="592"/>
    </row>
    <row r="64" spans="1:11" s="253" customFormat="1" ht="24">
      <c r="A64" s="239" t="s">
        <v>2053</v>
      </c>
      <c r="B64" s="597">
        <f>'Sources and Uses Budget'!C65</f>
        <v>0</v>
      </c>
      <c r="C64" s="598"/>
      <c r="D64" s="598">
        <f t="shared" ref="D64:D67" si="5">B64</f>
        <v>0</v>
      </c>
      <c r="E64" s="597">
        <f>'Sources and Uses Budget'!S65</f>
        <v>0</v>
      </c>
      <c r="F64" s="598"/>
      <c r="G64" s="598">
        <f t="shared" ref="G64:G67" si="6">E64</f>
        <v>0</v>
      </c>
      <c r="H64" s="597">
        <f>'Sources and Uses Budget'!T65</f>
        <v>0</v>
      </c>
      <c r="I64" s="598"/>
      <c r="J64" s="598"/>
      <c r="K64" s="592"/>
    </row>
    <row r="65" spans="1:11" s="253" customFormat="1" ht="24">
      <c r="A65" s="239" t="s">
        <v>2054</v>
      </c>
      <c r="B65" s="597">
        <f>'Sources and Uses Budget'!C66</f>
        <v>0</v>
      </c>
      <c r="C65" s="598"/>
      <c r="D65" s="598">
        <f t="shared" si="5"/>
        <v>0</v>
      </c>
      <c r="E65" s="597">
        <f>'Sources and Uses Budget'!S66</f>
        <v>0</v>
      </c>
      <c r="F65" s="598"/>
      <c r="G65" s="598">
        <f t="shared" si="6"/>
        <v>0</v>
      </c>
      <c r="H65" s="597">
        <f>'Sources and Uses Budget'!T66</f>
        <v>0</v>
      </c>
      <c r="I65" s="598"/>
      <c r="J65" s="598"/>
      <c r="K65" s="592"/>
    </row>
    <row r="66" spans="1:11" s="253" customFormat="1">
      <c r="A66" s="239" t="s">
        <v>2055</v>
      </c>
      <c r="B66" s="597">
        <f>'Sources and Uses Budget'!C67</f>
        <v>0</v>
      </c>
      <c r="C66" s="598"/>
      <c r="D66" s="598">
        <f t="shared" si="5"/>
        <v>0</v>
      </c>
      <c r="E66" s="597">
        <f>'Sources and Uses Budget'!S67</f>
        <v>0</v>
      </c>
      <c r="F66" s="598"/>
      <c r="G66" s="598">
        <f t="shared" si="6"/>
        <v>0</v>
      </c>
      <c r="H66" s="597">
        <f>'Sources and Uses Budget'!T67</f>
        <v>0</v>
      </c>
      <c r="I66" s="598"/>
      <c r="J66" s="598"/>
      <c r="K66" s="592"/>
    </row>
    <row r="67" spans="1:11" s="253" customFormat="1">
      <c r="A67" s="239" t="str">
        <f>'Sources and Uses Budget'!$A68</f>
        <v>Other: Sponsor &amp; Organizational Legal</v>
      </c>
      <c r="B67" s="597">
        <f>'Sources and Uses Budget'!C68</f>
        <v>130000</v>
      </c>
      <c r="C67" s="598"/>
      <c r="D67" s="598">
        <f t="shared" si="5"/>
        <v>130000</v>
      </c>
      <c r="E67" s="597">
        <f>'Sources and Uses Budget'!S68</f>
        <v>65000</v>
      </c>
      <c r="F67" s="598"/>
      <c r="G67" s="598">
        <f t="shared" si="6"/>
        <v>65000</v>
      </c>
      <c r="H67" s="597">
        <f>'Sources and Uses Budget'!T68</f>
        <v>0</v>
      </c>
      <c r="I67" s="598"/>
      <c r="J67" s="598"/>
      <c r="K67" s="592"/>
    </row>
    <row r="68" spans="1:11" s="253" customFormat="1">
      <c r="A68" s="243" t="s">
        <v>2056</v>
      </c>
      <c r="B68" s="597">
        <f>'Sources and Uses Budget'!C69</f>
        <v>230000</v>
      </c>
      <c r="C68" s="597">
        <f>SUM(C62:C67)</f>
        <v>0</v>
      </c>
      <c r="D68" s="597">
        <f>SUM(D62:D67)</f>
        <v>230000</v>
      </c>
      <c r="E68" s="597">
        <f>'Sources and Uses Budget'!S69</f>
        <v>90000</v>
      </c>
      <c r="F68" s="600">
        <f>SUM(F63:F67)</f>
        <v>0</v>
      </c>
      <c r="G68" s="600">
        <f>SUM(G63:G67)</f>
        <v>90000</v>
      </c>
      <c r="H68" s="597">
        <f>'Sources and Uses Budget'!T69</f>
        <v>0</v>
      </c>
      <c r="I68" s="600">
        <f>SUM(I63:I67)</f>
        <v>0</v>
      </c>
      <c r="J68" s="600">
        <f>SUM(J63:J67)</f>
        <v>0</v>
      </c>
      <c r="K68" s="592"/>
    </row>
    <row r="69" spans="1:11" s="253" customFormat="1">
      <c r="A69" s="235" t="s">
        <v>300</v>
      </c>
      <c r="B69" s="596"/>
      <c r="C69" s="596"/>
      <c r="D69" s="596"/>
      <c r="E69" s="596"/>
      <c r="F69" s="596"/>
      <c r="G69" s="596"/>
      <c r="H69" s="596"/>
      <c r="I69" s="596"/>
      <c r="J69" s="596"/>
      <c r="K69" s="592"/>
    </row>
    <row r="70" spans="1:11" s="253" customFormat="1">
      <c r="A70" s="239" t="s">
        <v>301</v>
      </c>
      <c r="B70" s="597">
        <f>'Sources and Uses Budget'!C71</f>
        <v>0</v>
      </c>
      <c r="C70" s="598"/>
      <c r="D70" s="598">
        <f>B70</f>
        <v>0</v>
      </c>
      <c r="E70" s="599"/>
      <c r="F70" s="599"/>
      <c r="G70" s="599"/>
      <c r="H70" s="599"/>
      <c r="I70" s="599"/>
      <c r="J70" s="599"/>
      <c r="K70" s="592"/>
    </row>
    <row r="71" spans="1:11" s="253" customFormat="1">
      <c r="A71" s="239" t="s">
        <v>302</v>
      </c>
      <c r="B71" s="597">
        <f>'Sources and Uses Budget'!C72</f>
        <v>0</v>
      </c>
      <c r="C71" s="598"/>
      <c r="D71" s="598">
        <f t="shared" ref="D71:D74" si="7">B71</f>
        <v>0</v>
      </c>
      <c r="E71" s="599"/>
      <c r="F71" s="599"/>
      <c r="G71" s="599"/>
      <c r="H71" s="599"/>
      <c r="I71" s="599"/>
      <c r="J71" s="599"/>
      <c r="K71" s="592"/>
    </row>
    <row r="72" spans="1:11" s="253" customFormat="1">
      <c r="A72" s="467" t="s">
        <v>1291</v>
      </c>
      <c r="B72" s="597">
        <f>'Sources and Uses Budget'!C73</f>
        <v>73000</v>
      </c>
      <c r="C72" s="598"/>
      <c r="D72" s="598">
        <f t="shared" si="7"/>
        <v>73000</v>
      </c>
      <c r="E72" s="599"/>
      <c r="F72" s="599"/>
      <c r="G72" s="599"/>
      <c r="H72" s="599"/>
      <c r="I72" s="599"/>
      <c r="J72" s="599"/>
      <c r="K72" s="592"/>
    </row>
    <row r="73" spans="1:11" s="253" customFormat="1">
      <c r="A73" s="239" t="s">
        <v>303</v>
      </c>
      <c r="B73" s="597">
        <f>'Sources and Uses Budget'!C74</f>
        <v>324605</v>
      </c>
      <c r="C73" s="598"/>
      <c r="D73" s="598">
        <f t="shared" si="7"/>
        <v>324605</v>
      </c>
      <c r="E73" s="599"/>
      <c r="F73" s="599"/>
      <c r="G73" s="599"/>
      <c r="H73" s="599"/>
      <c r="I73" s="599"/>
      <c r="J73" s="599"/>
      <c r="K73" s="592"/>
    </row>
    <row r="74" spans="1:11" s="253" customFormat="1">
      <c r="A74" s="239" t="str">
        <f>'Sources and Uses Budget'!$A75</f>
        <v>Other: (Specify)</v>
      </c>
      <c r="B74" s="597">
        <f>'Sources and Uses Budget'!C75</f>
        <v>0</v>
      </c>
      <c r="C74" s="598"/>
      <c r="D74" s="598">
        <f t="shared" si="7"/>
        <v>0</v>
      </c>
      <c r="E74" s="599"/>
      <c r="F74" s="599"/>
      <c r="G74" s="599"/>
      <c r="H74" s="599"/>
      <c r="I74" s="599"/>
      <c r="J74" s="599"/>
      <c r="K74" s="592"/>
    </row>
    <row r="75" spans="1:11" s="253" customFormat="1">
      <c r="A75" s="243" t="s">
        <v>304</v>
      </c>
      <c r="B75" s="597">
        <f>'Sources and Uses Budget'!C76</f>
        <v>397605</v>
      </c>
      <c r="C75" s="597">
        <f>SUM(C70:C74)</f>
        <v>0</v>
      </c>
      <c r="D75" s="597">
        <f>SUM(D70:D74)</f>
        <v>397605</v>
      </c>
      <c r="E75" s="599"/>
      <c r="F75" s="599"/>
      <c r="G75" s="599"/>
      <c r="H75" s="599"/>
      <c r="I75" s="599"/>
      <c r="J75" s="599"/>
      <c r="K75" s="592"/>
    </row>
    <row r="76" spans="1:11" s="253" customFormat="1">
      <c r="A76" s="235" t="s">
        <v>1819</v>
      </c>
      <c r="B76" s="596"/>
      <c r="C76" s="596"/>
      <c r="D76" s="596"/>
      <c r="E76" s="596"/>
      <c r="F76" s="596"/>
      <c r="G76" s="596"/>
      <c r="H76" s="596"/>
      <c r="I76" s="596"/>
      <c r="J76" s="596"/>
      <c r="K76" s="592"/>
    </row>
    <row r="77" spans="1:11" s="253" customFormat="1">
      <c r="A77" s="239" t="s">
        <v>1820</v>
      </c>
      <c r="B77" s="597">
        <f>'Sources and Uses Budget'!C78</f>
        <v>1248300</v>
      </c>
      <c r="C77" s="598"/>
      <c r="D77" s="598">
        <f>B77</f>
        <v>1248300</v>
      </c>
      <c r="E77" s="597">
        <f>'Sources and Uses Budget'!S78</f>
        <v>1248300</v>
      </c>
      <c r="F77" s="598"/>
      <c r="G77" s="598">
        <f>E77</f>
        <v>1248300</v>
      </c>
      <c r="H77" s="597">
        <f>'Sources and Uses Budget'!T78</f>
        <v>0</v>
      </c>
      <c r="I77" s="598"/>
      <c r="J77" s="598"/>
      <c r="K77" s="592"/>
    </row>
    <row r="78" spans="1:11" s="253" customFormat="1">
      <c r="A78" s="239" t="s">
        <v>569</v>
      </c>
      <c r="B78" s="597">
        <f>'Sources and Uses Budget'!C79</f>
        <v>125000</v>
      </c>
      <c r="C78" s="598"/>
      <c r="D78" s="598">
        <f>B78</f>
        <v>125000</v>
      </c>
      <c r="E78" s="597">
        <f>'Sources and Uses Budget'!S79</f>
        <v>125000</v>
      </c>
      <c r="F78" s="598"/>
      <c r="G78" s="598">
        <f>E78</f>
        <v>125000</v>
      </c>
      <c r="H78" s="597">
        <f>'Sources and Uses Budget'!T79</f>
        <v>0</v>
      </c>
      <c r="I78" s="598"/>
      <c r="J78" s="598"/>
      <c r="K78" s="592"/>
    </row>
    <row r="79" spans="1:11" s="253" customFormat="1">
      <c r="A79" s="243" t="s">
        <v>1818</v>
      </c>
      <c r="B79" s="597">
        <f>'Sources and Uses Budget'!C80</f>
        <v>1373300</v>
      </c>
      <c r="C79" s="680">
        <f>SUM(C77:C78)</f>
        <v>0</v>
      </c>
      <c r="D79" s="680">
        <f>SUM(D77:D78)</f>
        <v>1373300</v>
      </c>
      <c r="E79" s="597">
        <f>'Sources and Uses Budget'!S80</f>
        <v>1373300</v>
      </c>
      <c r="F79" s="680">
        <f>SUM(F77:F78)</f>
        <v>0</v>
      </c>
      <c r="G79" s="680">
        <f>SUM(G77:G78)</f>
        <v>1373300</v>
      </c>
      <c r="H79" s="597">
        <f>'Sources and Uses Budget'!T80</f>
        <v>0</v>
      </c>
      <c r="I79" s="680">
        <f>SUM(I77:I78)</f>
        <v>0</v>
      </c>
      <c r="J79" s="680">
        <f>SUM(J77:J78)</f>
        <v>0</v>
      </c>
      <c r="K79" s="592"/>
    </row>
    <row r="80" spans="1:11" s="253" customFormat="1">
      <c r="A80" s="235" t="s">
        <v>546</v>
      </c>
      <c r="B80" s="596"/>
      <c r="C80" s="596"/>
      <c r="D80" s="596"/>
      <c r="E80" s="596"/>
      <c r="F80" s="596"/>
      <c r="G80" s="596"/>
      <c r="H80" s="596"/>
      <c r="I80" s="596"/>
      <c r="J80" s="596"/>
      <c r="K80" s="592"/>
    </row>
    <row r="81" spans="1:11" s="253" customFormat="1" ht="13.9" customHeight="1">
      <c r="A81" s="239" t="s">
        <v>2239</v>
      </c>
      <c r="B81" s="597">
        <f>'Sources and Uses Budget'!C82</f>
        <v>131930</v>
      </c>
      <c r="C81" s="598"/>
      <c r="D81" s="598">
        <f>B81</f>
        <v>131930</v>
      </c>
      <c r="E81" s="599"/>
      <c r="F81" s="599"/>
      <c r="G81" s="599"/>
      <c r="H81" s="599"/>
      <c r="I81" s="599"/>
      <c r="J81" s="599"/>
      <c r="K81" s="592"/>
    </row>
    <row r="82" spans="1:11" s="253" customFormat="1">
      <c r="A82" s="239" t="s">
        <v>547</v>
      </c>
      <c r="B82" s="597">
        <f>'Sources and Uses Budget'!C83</f>
        <v>120000</v>
      </c>
      <c r="C82" s="598"/>
      <c r="D82" s="598">
        <f t="shared" ref="D82:D93" si="8">B82</f>
        <v>120000</v>
      </c>
      <c r="E82" s="597">
        <f>'Sources and Uses Budget'!S83</f>
        <v>120000</v>
      </c>
      <c r="F82" s="598"/>
      <c r="G82" s="598">
        <f>E82</f>
        <v>120000</v>
      </c>
      <c r="H82" s="597">
        <f>'Sources and Uses Budget'!T83</f>
        <v>0</v>
      </c>
      <c r="I82" s="598"/>
      <c r="J82" s="598"/>
      <c r="K82" s="592"/>
    </row>
    <row r="83" spans="1:11" s="253" customFormat="1">
      <c r="A83" s="239" t="s">
        <v>548</v>
      </c>
      <c r="B83" s="597">
        <f>'Sources and Uses Budget'!C84</f>
        <v>0</v>
      </c>
      <c r="C83" s="598"/>
      <c r="D83" s="598">
        <f t="shared" si="8"/>
        <v>0</v>
      </c>
      <c r="E83" s="597">
        <f>'Sources and Uses Budget'!S84</f>
        <v>0</v>
      </c>
      <c r="F83" s="598"/>
      <c r="G83" s="598">
        <f t="shared" ref="G83:G85" si="9">E83</f>
        <v>0</v>
      </c>
      <c r="H83" s="597">
        <f>'Sources and Uses Budget'!T84</f>
        <v>0</v>
      </c>
      <c r="I83" s="598"/>
      <c r="J83" s="598"/>
      <c r="K83" s="592"/>
    </row>
    <row r="84" spans="1:11" s="253" customFormat="1">
      <c r="A84" s="239" t="s">
        <v>549</v>
      </c>
      <c r="B84" s="597">
        <f>'Sources and Uses Budget'!C85</f>
        <v>150000</v>
      </c>
      <c r="C84" s="598"/>
      <c r="D84" s="598">
        <f t="shared" si="8"/>
        <v>150000</v>
      </c>
      <c r="E84" s="597">
        <f>'Sources and Uses Budget'!S85</f>
        <v>150000</v>
      </c>
      <c r="F84" s="598"/>
      <c r="G84" s="598">
        <f t="shared" si="9"/>
        <v>150000</v>
      </c>
      <c r="H84" s="597">
        <f>'Sources and Uses Budget'!T85</f>
        <v>0</v>
      </c>
      <c r="I84" s="598"/>
      <c r="J84" s="598"/>
      <c r="K84" s="592"/>
    </row>
    <row r="85" spans="1:11" s="253" customFormat="1">
      <c r="A85" s="239" t="s">
        <v>550</v>
      </c>
      <c r="B85" s="597">
        <f>'Sources and Uses Budget'!C86</f>
        <v>0</v>
      </c>
      <c r="C85" s="598"/>
      <c r="D85" s="598">
        <f t="shared" si="8"/>
        <v>0</v>
      </c>
      <c r="E85" s="597">
        <f>'Sources and Uses Budget'!S86</f>
        <v>0</v>
      </c>
      <c r="F85" s="598"/>
      <c r="G85" s="598">
        <f t="shared" si="9"/>
        <v>0</v>
      </c>
      <c r="H85" s="597">
        <f>'Sources and Uses Budget'!T86</f>
        <v>0</v>
      </c>
      <c r="I85" s="598"/>
      <c r="J85" s="598"/>
      <c r="K85" s="592"/>
    </row>
    <row r="86" spans="1:11" s="253" customFormat="1">
      <c r="A86" s="239" t="s">
        <v>551</v>
      </c>
      <c r="B86" s="597">
        <f>'Sources and Uses Budget'!C87</f>
        <v>0</v>
      </c>
      <c r="C86" s="598"/>
      <c r="D86" s="598">
        <f t="shared" si="8"/>
        <v>0</v>
      </c>
      <c r="E86" s="599"/>
      <c r="F86" s="599"/>
      <c r="G86" s="599"/>
      <c r="H86" s="599"/>
      <c r="I86" s="599"/>
      <c r="J86" s="599"/>
      <c r="K86" s="592"/>
    </row>
    <row r="87" spans="1:11" s="253" customFormat="1">
      <c r="A87" s="239" t="s">
        <v>552</v>
      </c>
      <c r="B87" s="597">
        <f>'Sources and Uses Budget'!C88</f>
        <v>50000</v>
      </c>
      <c r="C87" s="598"/>
      <c r="D87" s="598">
        <f t="shared" si="8"/>
        <v>50000</v>
      </c>
      <c r="E87" s="597">
        <f>'Sources and Uses Budget'!S88</f>
        <v>50000</v>
      </c>
      <c r="F87" s="598"/>
      <c r="G87" s="598">
        <f>E87</f>
        <v>50000</v>
      </c>
      <c r="H87" s="597">
        <f>'Sources and Uses Budget'!T88</f>
        <v>0</v>
      </c>
      <c r="I87" s="598"/>
      <c r="J87" s="598"/>
      <c r="K87" s="592"/>
    </row>
    <row r="88" spans="1:11" s="253" customFormat="1">
      <c r="A88" s="239" t="s">
        <v>553</v>
      </c>
      <c r="B88" s="597">
        <f>'Sources and Uses Budget'!C89</f>
        <v>50000</v>
      </c>
      <c r="C88" s="598"/>
      <c r="D88" s="598">
        <f t="shared" si="8"/>
        <v>50000</v>
      </c>
      <c r="E88" s="597">
        <f>'Sources and Uses Budget'!S89</f>
        <v>50000</v>
      </c>
      <c r="F88" s="598"/>
      <c r="G88" s="598">
        <f t="shared" ref="G88:G93" si="10">E88</f>
        <v>50000</v>
      </c>
      <c r="H88" s="597">
        <f>'Sources and Uses Budget'!T89</f>
        <v>0</v>
      </c>
      <c r="I88" s="598"/>
      <c r="J88" s="598"/>
      <c r="K88" s="592"/>
    </row>
    <row r="89" spans="1:11" s="253" customFormat="1">
      <c r="A89" s="239" t="s">
        <v>1367</v>
      </c>
      <c r="B89" s="597">
        <f>'Sources and Uses Budget'!C90</f>
        <v>15000</v>
      </c>
      <c r="C89" s="598"/>
      <c r="D89" s="598">
        <f t="shared" si="8"/>
        <v>15000</v>
      </c>
      <c r="E89" s="597">
        <f>'Sources and Uses Budget'!S90</f>
        <v>0</v>
      </c>
      <c r="F89" s="598"/>
      <c r="G89" s="598">
        <f t="shared" si="10"/>
        <v>0</v>
      </c>
      <c r="H89" s="597">
        <f>'Sources and Uses Budget'!T90</f>
        <v>0</v>
      </c>
      <c r="I89" s="598"/>
      <c r="J89" s="598"/>
      <c r="K89" s="592"/>
    </row>
    <row r="90" spans="1:11" s="253" customFormat="1">
      <c r="A90" s="239" t="s">
        <v>1816</v>
      </c>
      <c r="B90" s="597">
        <f>'Sources and Uses Budget'!C91</f>
        <v>20000</v>
      </c>
      <c r="C90" s="598"/>
      <c r="D90" s="598">
        <f t="shared" si="8"/>
        <v>20000</v>
      </c>
      <c r="E90" s="597">
        <f>'Sources and Uses Budget'!S91</f>
        <v>20000</v>
      </c>
      <c r="F90" s="598"/>
      <c r="G90" s="598">
        <f t="shared" si="10"/>
        <v>20000</v>
      </c>
      <c r="H90" s="597">
        <f>'Sources and Uses Budget'!T91</f>
        <v>0</v>
      </c>
      <c r="I90" s="598"/>
      <c r="J90" s="598"/>
      <c r="K90" s="592"/>
    </row>
    <row r="91" spans="1:11" s="253" customFormat="1">
      <c r="A91" s="239" t="str">
        <f>'Sources and Uses Budget'!$A92</f>
        <v>Other:  MGP Fees</v>
      </c>
      <c r="B91" s="597">
        <f>'Sources and Uses Budget'!C92</f>
        <v>100000</v>
      </c>
      <c r="C91" s="598"/>
      <c r="D91" s="598">
        <f t="shared" si="8"/>
        <v>100000</v>
      </c>
      <c r="E91" s="597">
        <f>'Sources and Uses Budget'!S92</f>
        <v>100000</v>
      </c>
      <c r="F91" s="598"/>
      <c r="G91" s="598">
        <f t="shared" si="10"/>
        <v>100000</v>
      </c>
      <c r="H91" s="597">
        <f>'Sources and Uses Budget'!T92</f>
        <v>0</v>
      </c>
      <c r="I91" s="598"/>
      <c r="J91" s="598"/>
      <c r="K91" s="592"/>
    </row>
    <row r="92" spans="1:11" s="253" customFormat="1">
      <c r="A92" s="239" t="str">
        <f>'Sources and Uses Budget'!$A93</f>
        <v>Other: (Specify)</v>
      </c>
      <c r="B92" s="597">
        <f>'Sources and Uses Budget'!C93</f>
        <v>0</v>
      </c>
      <c r="C92" s="598"/>
      <c r="D92" s="598">
        <f t="shared" si="8"/>
        <v>0</v>
      </c>
      <c r="E92" s="597">
        <f>'Sources and Uses Budget'!S93</f>
        <v>0</v>
      </c>
      <c r="F92" s="598"/>
      <c r="G92" s="598">
        <f t="shared" si="10"/>
        <v>0</v>
      </c>
      <c r="H92" s="597">
        <f>'Sources and Uses Budget'!T93</f>
        <v>0</v>
      </c>
      <c r="I92" s="598"/>
      <c r="J92" s="598"/>
      <c r="K92" s="592"/>
    </row>
    <row r="93" spans="1:11" s="253" customFormat="1">
      <c r="A93" s="239" t="str">
        <f>'Sources and Uses Budget'!$A94</f>
        <v>Other:  Security Cameras, Wifi, WDO</v>
      </c>
      <c r="B93" s="597">
        <f>'Sources and Uses Budget'!C94</f>
        <v>100000</v>
      </c>
      <c r="C93" s="598"/>
      <c r="D93" s="598">
        <f t="shared" si="8"/>
        <v>100000</v>
      </c>
      <c r="E93" s="597">
        <f>'Sources and Uses Budget'!S94</f>
        <v>100000</v>
      </c>
      <c r="F93" s="598"/>
      <c r="G93" s="598">
        <f t="shared" si="10"/>
        <v>100000</v>
      </c>
      <c r="H93" s="597">
        <f>'Sources and Uses Budget'!T94</f>
        <v>0</v>
      </c>
      <c r="I93" s="598"/>
      <c r="J93" s="598"/>
      <c r="K93" s="592"/>
    </row>
    <row r="94" spans="1:11" s="253" customFormat="1">
      <c r="A94" s="243" t="s">
        <v>554</v>
      </c>
      <c r="B94" s="597">
        <f>'Sources and Uses Budget'!C95</f>
        <v>736930</v>
      </c>
      <c r="C94" s="597">
        <f>SUM(C81:C93)</f>
        <v>0</v>
      </c>
      <c r="D94" s="597">
        <f>SUM(D81:D93)</f>
        <v>736930</v>
      </c>
      <c r="E94" s="597">
        <f>'Sources and Uses Budget'!S95</f>
        <v>590000</v>
      </c>
      <c r="F94" s="600">
        <f>SUM(F82:F85,F87:F93)</f>
        <v>0</v>
      </c>
      <c r="G94" s="600">
        <f>SUM(G82:G85,G87:G93)</f>
        <v>590000</v>
      </c>
      <c r="H94" s="597">
        <f>'Sources and Uses Budget'!T95</f>
        <v>0</v>
      </c>
      <c r="I94" s="597">
        <f>SUM(I82:I85,I87:I93)</f>
        <v>0</v>
      </c>
      <c r="J94" s="597">
        <f>SUM(J82:J85,J87:J93)</f>
        <v>0</v>
      </c>
      <c r="K94" s="592"/>
    </row>
    <row r="95" spans="1:11" s="253" customFormat="1">
      <c r="A95" s="243" t="s">
        <v>1418</v>
      </c>
      <c r="B95" s="597">
        <f>'Sources and Uses Budget'!C96</f>
        <v>42537740</v>
      </c>
      <c r="C95" s="597">
        <f>SUM(C61+C68+C75+C79+C94)</f>
        <v>0</v>
      </c>
      <c r="D95" s="597">
        <f>SUM(D61+D68+D75+D79+D94)</f>
        <v>42537740</v>
      </c>
      <c r="E95" s="597">
        <f>'Sources and Uses Budget'!S96</f>
        <v>16657332</v>
      </c>
      <c r="F95" s="600">
        <f>SUM(+F61+F68+F79+F94)</f>
        <v>0</v>
      </c>
      <c r="G95" s="600">
        <f>SUM(+G61+G68+G79+G94)</f>
        <v>16657332</v>
      </c>
      <c r="H95" s="597">
        <f>'Sources and Uses Budget'!T96</f>
        <v>22041000</v>
      </c>
      <c r="I95" s="600">
        <f>SUM(I61+I68+I79+I94)</f>
        <v>0</v>
      </c>
      <c r="J95" s="600">
        <f>SUM(J61+J68+J79+J94)</f>
        <v>22041000</v>
      </c>
      <c r="K95" s="592"/>
    </row>
    <row r="96" spans="1:11" s="253" customFormat="1">
      <c r="A96" s="235" t="s">
        <v>556</v>
      </c>
      <c r="B96" s="596"/>
      <c r="C96" s="596"/>
      <c r="D96" s="596"/>
      <c r="E96" s="596"/>
      <c r="F96" s="596"/>
      <c r="G96" s="596"/>
      <c r="H96" s="596"/>
      <c r="I96" s="596"/>
      <c r="J96" s="596"/>
      <c r="K96" s="592"/>
    </row>
    <row r="97" spans="1:11" s="253" customFormat="1">
      <c r="A97" s="239" t="s">
        <v>557</v>
      </c>
      <c r="B97" s="597">
        <f>'Sources and Uses Budget'!C98</f>
        <v>2200000</v>
      </c>
      <c r="C97" s="598"/>
      <c r="D97" s="598">
        <f>B97</f>
        <v>2200000</v>
      </c>
      <c r="E97" s="597">
        <f>'Sources and Uses Budget'!S98</f>
        <v>1097950</v>
      </c>
      <c r="F97" s="598"/>
      <c r="G97" s="598">
        <f>E97</f>
        <v>1097950</v>
      </c>
      <c r="H97" s="597">
        <f>'Sources and Uses Budget'!T98</f>
        <v>1102050</v>
      </c>
      <c r="I97" s="598"/>
      <c r="J97" s="598">
        <f>H97</f>
        <v>1102050</v>
      </c>
      <c r="K97" s="592"/>
    </row>
    <row r="98" spans="1:11" s="253" customFormat="1">
      <c r="A98" s="239" t="s">
        <v>2057</v>
      </c>
      <c r="B98" s="597">
        <f>'Sources and Uses Budget'!C99</f>
        <v>0</v>
      </c>
      <c r="C98" s="598"/>
      <c r="D98" s="598"/>
      <c r="E98" s="597">
        <f>'Sources and Uses Budget'!S99</f>
        <v>0</v>
      </c>
      <c r="F98" s="598"/>
      <c r="G98" s="598"/>
      <c r="H98" s="597">
        <f>'Sources and Uses Budget'!T99</f>
        <v>0</v>
      </c>
      <c r="I98" s="598"/>
      <c r="J98" s="598"/>
      <c r="K98" s="592"/>
    </row>
    <row r="99" spans="1:11" s="253" customFormat="1" ht="12" customHeight="1">
      <c r="A99" s="239" t="s">
        <v>558</v>
      </c>
      <c r="B99" s="597">
        <f>'Sources and Uses Budget'!C100</f>
        <v>0</v>
      </c>
      <c r="C99" s="598"/>
      <c r="D99" s="598"/>
      <c r="E99" s="597">
        <f>'Sources and Uses Budget'!S100</f>
        <v>0</v>
      </c>
      <c r="F99" s="598"/>
      <c r="G99" s="598"/>
      <c r="H99" s="597">
        <f>'Sources and Uses Budget'!T100</f>
        <v>0</v>
      </c>
      <c r="I99" s="598"/>
      <c r="J99" s="598"/>
      <c r="K99" s="592"/>
    </row>
    <row r="100" spans="1:11" s="253" customFormat="1">
      <c r="A100" s="239" t="s">
        <v>1292</v>
      </c>
      <c r="B100" s="597">
        <f>'Sources and Uses Budget'!C101</f>
        <v>0</v>
      </c>
      <c r="C100" s="598"/>
      <c r="D100" s="598"/>
      <c r="E100" s="597">
        <f>'Sources and Uses Budget'!S101</f>
        <v>0</v>
      </c>
      <c r="F100" s="598"/>
      <c r="G100" s="598"/>
      <c r="H100" s="597">
        <f>'Sources and Uses Budget'!T101</f>
        <v>0</v>
      </c>
      <c r="I100" s="598"/>
      <c r="J100" s="598"/>
      <c r="K100" s="592"/>
    </row>
    <row r="101" spans="1:11" s="253" customFormat="1">
      <c r="A101" s="239" t="str">
        <f>'Sources and Uses Budget'!$A102</f>
        <v>Other: (Specify)</v>
      </c>
      <c r="B101" s="597">
        <f>'Sources and Uses Budget'!C102</f>
        <v>0</v>
      </c>
      <c r="C101" s="598"/>
      <c r="D101" s="598"/>
      <c r="E101" s="597">
        <f>'Sources and Uses Budget'!S102</f>
        <v>0</v>
      </c>
      <c r="F101" s="598"/>
      <c r="G101" s="598"/>
      <c r="H101" s="597">
        <f>'Sources and Uses Budget'!T102</f>
        <v>0</v>
      </c>
      <c r="I101" s="598"/>
      <c r="J101" s="598"/>
      <c r="K101" s="592"/>
    </row>
    <row r="102" spans="1:11" s="253" customFormat="1">
      <c r="A102" s="243" t="s">
        <v>559</v>
      </c>
      <c r="B102" s="597">
        <f>'Sources and Uses Budget'!C103</f>
        <v>2200000</v>
      </c>
      <c r="C102" s="597">
        <f>SUM(C97:C101)</f>
        <v>0</v>
      </c>
      <c r="D102" s="597">
        <f>SUM(D97:D101)</f>
        <v>2200000</v>
      </c>
      <c r="E102" s="597">
        <f>'Sources and Uses Budget'!S103</f>
        <v>1097950</v>
      </c>
      <c r="F102" s="600">
        <f>SUM(F97:F101)</f>
        <v>0</v>
      </c>
      <c r="G102" s="600">
        <f>SUM(G97:G101)</f>
        <v>1097950</v>
      </c>
      <c r="H102" s="597">
        <f>'Sources and Uses Budget'!T103</f>
        <v>1102050</v>
      </c>
      <c r="I102" s="600">
        <f>SUM(I97:I101)</f>
        <v>0</v>
      </c>
      <c r="J102" s="600">
        <f>SUM(J97:J101)</f>
        <v>1102050</v>
      </c>
      <c r="K102" s="592"/>
    </row>
    <row r="103" spans="1:11" s="253" customFormat="1">
      <c r="A103" s="243" t="s">
        <v>1419</v>
      </c>
      <c r="B103" s="597">
        <f>'Sources and Uses Budget'!C104</f>
        <v>44737740</v>
      </c>
      <c r="C103" s="600">
        <f>SUM(C95+C102)</f>
        <v>0</v>
      </c>
      <c r="D103" s="600">
        <f>SUM(D95+D102)</f>
        <v>44737740</v>
      </c>
      <c r="E103" s="597">
        <f>'Sources and Uses Budget'!S104</f>
        <v>17755282</v>
      </c>
      <c r="F103" s="600">
        <f>F95+F102</f>
        <v>0</v>
      </c>
      <c r="G103" s="600">
        <f>G95+G102</f>
        <v>17755282</v>
      </c>
      <c r="H103" s="597">
        <f>'Sources and Uses Budget'!T104</f>
        <v>23143050</v>
      </c>
      <c r="I103" s="600">
        <f>I95+I102</f>
        <v>0</v>
      </c>
      <c r="J103" s="600">
        <f>J95+J102</f>
        <v>23143050</v>
      </c>
      <c r="K103" s="592"/>
    </row>
    <row r="104" spans="1:11" s="253" customFormat="1">
      <c r="A104" s="251"/>
      <c r="B104" s="601"/>
      <c r="C104" s="601"/>
      <c r="D104" s="601"/>
      <c r="E104" s="597">
        <f>'Sources and Uses Budget'!S105</f>
        <v>0</v>
      </c>
      <c r="F104" s="598"/>
      <c r="G104" s="598"/>
      <c r="H104" s="597">
        <f>'Sources and Uses Budget'!T105</f>
        <v>0</v>
      </c>
      <c r="I104" s="598"/>
      <c r="J104" s="598"/>
      <c r="K104" s="592"/>
    </row>
    <row r="105" spans="1:11" s="253" customFormat="1">
      <c r="A105" s="574"/>
      <c r="B105" s="602"/>
      <c r="C105" s="601"/>
      <c r="D105" s="601"/>
      <c r="E105" s="597">
        <f>'Sources and Uses Budget'!S106</f>
        <v>17755282</v>
      </c>
      <c r="F105" s="600">
        <f>F103+F104</f>
        <v>0</v>
      </c>
      <c r="G105" s="600">
        <f>G103+G104</f>
        <v>17755282</v>
      </c>
      <c r="H105" s="597">
        <f>'Sources and Uses Budget'!T106</f>
        <v>23143050</v>
      </c>
      <c r="I105" s="600">
        <f>I103+I104</f>
        <v>0</v>
      </c>
      <c r="J105" s="600">
        <f>J103+J104</f>
        <v>23143050</v>
      </c>
      <c r="K105" s="592"/>
    </row>
    <row r="106" spans="1:11" s="253" customFormat="1" hidden="1">
      <c r="A106" s="574"/>
      <c r="B106" s="252"/>
      <c r="C106" s="252"/>
      <c r="D106" s="252"/>
      <c r="J106" s="595"/>
      <c r="K106" s="592"/>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05">
    <cfRule type="cellIs" dxfId="11" priority="3" stopIfTrue="1" operator="notEqual">
      <formula>$F3+$G3</formula>
    </cfRule>
  </conditionalFormatting>
  <conditionalFormatting sqref="H3:H105">
    <cfRule type="cellIs" dxfId="10"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95" workbookViewId="0">
      <selection activeCell="AL16" sqref="AL1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2"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2" t="s">
        <v>886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83"/>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4"/>
    </row>
    <row r="4" spans="1:42" s="3" customFormat="1" ht="12.75" customHeight="1">
      <c r="A4" s="63" t="s">
        <v>1524</v>
      </c>
      <c r="AE4" s="1816" t="s">
        <v>389</v>
      </c>
      <c r="AF4" s="1816"/>
      <c r="AG4" s="1816"/>
      <c r="AH4" s="1816"/>
      <c r="AI4" s="1816"/>
      <c r="AJ4" s="1816"/>
      <c r="AK4" s="1816"/>
      <c r="AL4" s="18"/>
      <c r="AN4" s="684"/>
    </row>
    <row r="5" spans="1:42" s="3" customFormat="1" ht="12.95" customHeight="1">
      <c r="A5" s="63"/>
      <c r="AE5" s="18"/>
      <c r="AF5" s="18"/>
      <c r="AG5" s="18"/>
      <c r="AH5" s="18"/>
      <c r="AI5" s="18"/>
      <c r="AJ5" s="18"/>
      <c r="AK5" s="18"/>
      <c r="AL5" s="18"/>
      <c r="AN5" s="684"/>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2" t="s">
        <v>894</v>
      </c>
      <c r="AG6" s="1712"/>
      <c r="AH6" s="1712"/>
      <c r="AI6" s="1712"/>
      <c r="AJ6" s="1712"/>
      <c r="AK6" s="1712"/>
      <c r="AL6" s="1712"/>
      <c r="AM6" s="3"/>
      <c r="AN6" s="683"/>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3"/>
    </row>
    <row r="8" spans="1:42" s="5" customFormat="1" ht="15" customHeight="1">
      <c r="A8" s="63"/>
      <c r="B8" s="1812" t="s">
        <v>2369</v>
      </c>
      <c r="C8" s="1812"/>
      <c r="D8" s="1812"/>
      <c r="E8" s="1812"/>
      <c r="F8" s="1812"/>
      <c r="G8" s="1812"/>
      <c r="H8" s="1812"/>
      <c r="I8" s="1812"/>
      <c r="J8" s="1812"/>
      <c r="K8" s="1812"/>
      <c r="L8" s="1812"/>
      <c r="M8" s="1812"/>
      <c r="N8" s="1812"/>
      <c r="O8" s="1812"/>
      <c r="P8" s="1812"/>
      <c r="Q8" s="1812"/>
      <c r="R8" s="1812"/>
      <c r="S8" s="1812"/>
      <c r="T8" s="1812"/>
      <c r="U8" s="1812"/>
      <c r="V8" s="1812"/>
      <c r="W8" s="1812"/>
      <c r="X8" s="1812"/>
      <c r="Y8" s="1812"/>
      <c r="Z8" s="1812"/>
      <c r="AA8" s="1812"/>
      <c r="AB8" s="1812"/>
      <c r="AC8" s="1812"/>
      <c r="AD8" s="3"/>
      <c r="AE8" s="108"/>
      <c r="AF8" s="108"/>
      <c r="AG8" s="108"/>
      <c r="AH8" s="108"/>
      <c r="AI8" s="108"/>
      <c r="AJ8" s="108"/>
      <c r="AK8" s="108"/>
      <c r="AL8" s="108"/>
      <c r="AM8" s="3"/>
      <c r="AN8" s="683"/>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3"/>
      <c r="AO9" s="429" t="s">
        <v>84</v>
      </c>
      <c r="AP9" s="481"/>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3"/>
      <c r="AO10" s="365" t="s">
        <v>1294</v>
      </c>
      <c r="AP10" s="374">
        <v>5</v>
      </c>
    </row>
    <row r="11" spans="1:42" s="5" customFormat="1" ht="12.75" customHeight="1">
      <c r="A11" s="63"/>
      <c r="B11" s="1812" t="s">
        <v>1295</v>
      </c>
      <c r="C11" s="1812"/>
      <c r="D11" s="1812"/>
      <c r="E11" s="1812"/>
      <c r="F11" s="1812"/>
      <c r="G11" s="1812"/>
      <c r="H11" s="1812"/>
      <c r="I11" s="1812"/>
      <c r="J11" s="1812"/>
      <c r="K11" s="1812"/>
      <c r="L11" s="1812"/>
      <c r="M11" s="1812"/>
      <c r="N11" s="1812"/>
      <c r="O11" s="1812"/>
      <c r="P11" s="1812"/>
      <c r="Q11" s="1812"/>
      <c r="R11" s="1812"/>
      <c r="S11" s="1812"/>
      <c r="T11" s="1812"/>
      <c r="U11" s="1812"/>
      <c r="V11" s="1812"/>
      <c r="W11" s="1812"/>
      <c r="X11" s="1812"/>
      <c r="Y11" s="1812"/>
      <c r="Z11" s="1812"/>
      <c r="AA11" s="1812"/>
      <c r="AB11" s="1812"/>
      <c r="AC11" s="1812"/>
      <c r="AD11" s="1812"/>
      <c r="AE11" s="1812"/>
      <c r="AF11" s="1812"/>
      <c r="AG11" s="1812"/>
      <c r="AH11" s="1812"/>
      <c r="AI11" s="1812"/>
      <c r="AM11" s="3"/>
      <c r="AN11" s="683"/>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3"/>
      <c r="AO12" s="365"/>
      <c r="AP12" s="374"/>
    </row>
    <row r="13" spans="1:42" s="5" customFormat="1" ht="12.75" customHeight="1">
      <c r="A13" s="63"/>
      <c r="B13" s="20" t="s">
        <v>1296</v>
      </c>
      <c r="AB13" s="1813" t="s">
        <v>132</v>
      </c>
      <c r="AC13" s="1813"/>
      <c r="AD13" s="18"/>
      <c r="AM13" s="3"/>
      <c r="AN13" s="683"/>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3"/>
      <c r="AO14" s="429"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3"/>
      <c r="AO15" s="365" t="s">
        <v>1297</v>
      </c>
      <c r="AP15" s="374">
        <v>5</v>
      </c>
    </row>
    <row r="16" spans="1:42" s="5" customFormat="1" ht="12.75" customHeight="1">
      <c r="A16" s="63"/>
      <c r="B16" s="1812" t="s">
        <v>1165</v>
      </c>
      <c r="C16" s="1812"/>
      <c r="D16" s="1812"/>
      <c r="E16" s="1812"/>
      <c r="F16" s="1812"/>
      <c r="G16" s="1812"/>
      <c r="H16" s="1812"/>
      <c r="I16" s="1812"/>
      <c r="J16" s="1812"/>
      <c r="K16" s="1812"/>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c r="AH16" s="1812"/>
      <c r="AI16" s="1812"/>
      <c r="AJ16" s="1812"/>
      <c r="AK16" s="503"/>
      <c r="AL16" s="503"/>
      <c r="AM16" s="503"/>
      <c r="AN16" s="683"/>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3"/>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3"/>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3"/>
    </row>
    <row r="20" spans="1:42" s="5" customFormat="1" ht="12.75" customHeight="1">
      <c r="B20" s="1651" t="s">
        <v>2342</v>
      </c>
      <c r="C20" s="1651"/>
      <c r="D20" s="1651"/>
      <c r="E20" s="1651"/>
      <c r="F20" s="1651"/>
      <c r="G20" s="1651"/>
      <c r="H20" s="1651"/>
      <c r="I20" s="1651"/>
      <c r="J20" s="1651"/>
      <c r="K20" s="1651"/>
      <c r="L20" s="1651"/>
      <c r="M20" s="1651"/>
      <c r="N20" s="1651"/>
      <c r="O20" s="1651"/>
      <c r="P20" s="1651"/>
      <c r="Q20" s="1651"/>
      <c r="R20" s="1651"/>
      <c r="S20" s="1651"/>
      <c r="T20" s="1651"/>
      <c r="U20" s="1651"/>
      <c r="V20" s="1651"/>
      <c r="W20" s="1651"/>
      <c r="X20" s="1651"/>
      <c r="Y20" s="1651"/>
      <c r="Z20" s="1651"/>
      <c r="AA20" s="1651"/>
      <c r="AB20" s="1651"/>
      <c r="AC20" s="1651"/>
      <c r="AD20" s="1651"/>
      <c r="AE20" s="1651"/>
      <c r="AF20" s="1651"/>
      <c r="AG20" s="1651"/>
      <c r="AH20" s="1651"/>
      <c r="AI20" s="1651"/>
      <c r="AJ20" s="1651"/>
      <c r="AK20" s="1651"/>
      <c r="AL20" s="103"/>
      <c r="AM20" s="27"/>
      <c r="AN20" s="683"/>
    </row>
    <row r="21" spans="1:42" s="5" customFormat="1" ht="12.75" customHeight="1">
      <c r="A21" s="27"/>
      <c r="B21" s="1651"/>
      <c r="C21" s="1651"/>
      <c r="D21" s="1651"/>
      <c r="E21" s="1651"/>
      <c r="F21" s="1651"/>
      <c r="G21" s="1651"/>
      <c r="H21" s="1651"/>
      <c r="I21" s="1651"/>
      <c r="J21" s="1651"/>
      <c r="K21" s="1651"/>
      <c r="L21" s="1651"/>
      <c r="M21" s="1651"/>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03"/>
      <c r="AM21" s="27"/>
      <c r="AN21" s="683"/>
      <c r="AP21" s="341"/>
    </row>
    <row r="22" spans="1:42" s="5" customFormat="1" ht="12.75" customHeight="1">
      <c r="A22" s="27"/>
      <c r="B22" s="1651"/>
      <c r="C22" s="1651"/>
      <c r="D22" s="1651"/>
      <c r="E22" s="1651"/>
      <c r="F22" s="1651"/>
      <c r="G22" s="1651"/>
      <c r="H22" s="1651"/>
      <c r="I22" s="1651"/>
      <c r="J22" s="1651"/>
      <c r="K22" s="1651"/>
      <c r="L22" s="1651"/>
      <c r="M22" s="1651"/>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03"/>
      <c r="AM22" s="27"/>
      <c r="AN22" s="683"/>
    </row>
    <row r="23" spans="1:42" s="4" customFormat="1" ht="12.75" customHeight="1">
      <c r="A23" s="27"/>
      <c r="B23" s="1651"/>
      <c r="C23" s="1651"/>
      <c r="D23" s="1651"/>
      <c r="E23" s="1651"/>
      <c r="F23" s="1651"/>
      <c r="G23" s="1651"/>
      <c r="H23" s="1651"/>
      <c r="I23" s="1651"/>
      <c r="J23" s="1651"/>
      <c r="K23" s="1651"/>
      <c r="L23" s="1651"/>
      <c r="M23" s="1651"/>
      <c r="N23" s="1651"/>
      <c r="O23" s="1651"/>
      <c r="P23" s="1651"/>
      <c r="Q23" s="1651"/>
      <c r="R23" s="1651"/>
      <c r="S23" s="1651"/>
      <c r="T23" s="1651"/>
      <c r="U23" s="1651"/>
      <c r="V23" s="1651"/>
      <c r="W23" s="1651"/>
      <c r="X23" s="1651"/>
      <c r="Y23" s="1651"/>
      <c r="Z23" s="1651"/>
      <c r="AA23" s="1651"/>
      <c r="AB23" s="1651"/>
      <c r="AC23" s="1651"/>
      <c r="AD23" s="1651"/>
      <c r="AE23" s="1651"/>
      <c r="AF23" s="1651"/>
      <c r="AG23" s="1651"/>
      <c r="AH23" s="1651"/>
      <c r="AI23" s="1651"/>
      <c r="AJ23" s="1651"/>
      <c r="AK23" s="1651"/>
      <c r="AL23" s="103"/>
      <c r="AM23" s="27"/>
      <c r="AN23" s="281"/>
    </row>
    <row r="24" spans="1:42" s="4" customFormat="1" ht="12.75" customHeight="1">
      <c r="A24" s="27"/>
      <c r="B24" s="1651"/>
      <c r="C24" s="1651"/>
      <c r="D24" s="1651"/>
      <c r="E24" s="1651"/>
      <c r="F24" s="1651"/>
      <c r="G24" s="1651"/>
      <c r="H24" s="1651"/>
      <c r="I24" s="1651"/>
      <c r="J24" s="1651"/>
      <c r="K24" s="1651"/>
      <c r="L24" s="1651"/>
      <c r="M24" s="1651"/>
      <c r="N24" s="1651"/>
      <c r="O24" s="1651"/>
      <c r="P24" s="1651"/>
      <c r="Q24" s="1651"/>
      <c r="R24" s="1651"/>
      <c r="S24" s="1651"/>
      <c r="T24" s="1651"/>
      <c r="U24" s="1651"/>
      <c r="V24" s="1651"/>
      <c r="W24" s="1651"/>
      <c r="X24" s="1651"/>
      <c r="Y24" s="1651"/>
      <c r="Z24" s="1651"/>
      <c r="AA24" s="1651"/>
      <c r="AB24" s="1651"/>
      <c r="AC24" s="1651"/>
      <c r="AD24" s="1651"/>
      <c r="AE24" s="1651"/>
      <c r="AF24" s="1651"/>
      <c r="AG24" s="1651"/>
      <c r="AH24" s="1651"/>
      <c r="AI24" s="1651"/>
      <c r="AJ24" s="1651"/>
      <c r="AK24" s="1651"/>
      <c r="AL24" s="103"/>
      <c r="AM24" s="27"/>
      <c r="AN24" s="685"/>
      <c r="AO24" s="91"/>
    </row>
    <row r="25" spans="1:42" s="4" customFormat="1" ht="12.75" customHeight="1">
      <c r="A25" s="27"/>
      <c r="B25" s="1651"/>
      <c r="C25" s="1651"/>
      <c r="D25" s="1651"/>
      <c r="E25" s="1651"/>
      <c r="F25" s="1651"/>
      <c r="G25" s="1651"/>
      <c r="H25" s="1651"/>
      <c r="I25" s="1651"/>
      <c r="J25" s="1651"/>
      <c r="K25" s="1651"/>
      <c r="L25" s="1651"/>
      <c r="M25" s="1651"/>
      <c r="N25" s="1651"/>
      <c r="O25" s="1651"/>
      <c r="P25" s="1651"/>
      <c r="Q25" s="1651"/>
      <c r="R25" s="1651"/>
      <c r="S25" s="1651"/>
      <c r="T25" s="1651"/>
      <c r="U25" s="1651"/>
      <c r="V25" s="1651"/>
      <c r="W25" s="1651"/>
      <c r="X25" s="1651"/>
      <c r="Y25" s="1651"/>
      <c r="Z25" s="1651"/>
      <c r="AA25" s="1651"/>
      <c r="AB25" s="1651"/>
      <c r="AC25" s="1651"/>
      <c r="AD25" s="1651"/>
      <c r="AE25" s="1651"/>
      <c r="AF25" s="1651"/>
      <c r="AG25" s="1651"/>
      <c r="AH25" s="1651"/>
      <c r="AI25" s="1651"/>
      <c r="AJ25" s="1651"/>
      <c r="AK25" s="1651"/>
      <c r="AL25" s="103"/>
      <c r="AM25" s="27"/>
      <c r="AN25" s="685"/>
    </row>
    <row r="26" spans="1:42" s="4" customFormat="1" ht="12.75" customHeight="1">
      <c r="A26" s="27"/>
      <c r="B26" s="1651"/>
      <c r="C26" s="1651"/>
      <c r="D26" s="1651"/>
      <c r="E26" s="1651"/>
      <c r="F26" s="1651"/>
      <c r="G26" s="1651"/>
      <c r="H26" s="1651"/>
      <c r="I26" s="1651"/>
      <c r="J26" s="1651"/>
      <c r="K26" s="1651"/>
      <c r="L26" s="1651"/>
      <c r="M26" s="1651"/>
      <c r="N26" s="1651"/>
      <c r="O26" s="1651"/>
      <c r="P26" s="1651"/>
      <c r="Q26" s="1651"/>
      <c r="R26" s="1651"/>
      <c r="S26" s="1651"/>
      <c r="T26" s="1651"/>
      <c r="U26" s="1651"/>
      <c r="V26" s="1651"/>
      <c r="W26" s="1651"/>
      <c r="X26" s="1651"/>
      <c r="Y26" s="1651"/>
      <c r="Z26" s="1651"/>
      <c r="AA26" s="1651"/>
      <c r="AB26" s="1651"/>
      <c r="AC26" s="1651"/>
      <c r="AD26" s="1651"/>
      <c r="AE26" s="1651"/>
      <c r="AF26" s="1651"/>
      <c r="AG26" s="1651"/>
      <c r="AH26" s="1651"/>
      <c r="AI26" s="1651"/>
      <c r="AJ26" s="1651"/>
      <c r="AK26" s="1651"/>
      <c r="AL26" s="103"/>
      <c r="AM26" s="27"/>
      <c r="AN26" s="281"/>
    </row>
    <row r="27" spans="1:42" s="4" customFormat="1" ht="12.75" customHeight="1">
      <c r="A27" s="27"/>
      <c r="B27" s="1651"/>
      <c r="C27" s="1651"/>
      <c r="D27" s="1651"/>
      <c r="E27" s="1651"/>
      <c r="F27" s="1651"/>
      <c r="G27" s="1651"/>
      <c r="H27" s="1651"/>
      <c r="I27" s="1651"/>
      <c r="J27" s="1651"/>
      <c r="K27" s="1651"/>
      <c r="L27" s="1651"/>
      <c r="M27" s="1651"/>
      <c r="N27" s="1651"/>
      <c r="O27" s="1651"/>
      <c r="P27" s="1651"/>
      <c r="Q27" s="1651"/>
      <c r="R27" s="1651"/>
      <c r="S27" s="1651"/>
      <c r="T27" s="1651"/>
      <c r="U27" s="1651"/>
      <c r="V27" s="1651"/>
      <c r="W27" s="1651"/>
      <c r="X27" s="1651"/>
      <c r="Y27" s="1651"/>
      <c r="Z27" s="1651"/>
      <c r="AA27" s="1651"/>
      <c r="AB27" s="1651"/>
      <c r="AC27" s="1651"/>
      <c r="AD27" s="1651"/>
      <c r="AE27" s="1651"/>
      <c r="AF27" s="1651"/>
      <c r="AG27" s="1651"/>
      <c r="AH27" s="1651"/>
      <c r="AI27" s="1651"/>
      <c r="AJ27" s="1651"/>
      <c r="AK27" s="1651"/>
      <c r="AL27" s="103"/>
      <c r="AM27" s="27"/>
      <c r="AN27" s="627"/>
    </row>
    <row r="28" spans="1:42" s="4" customFormat="1" ht="12.75" customHeight="1">
      <c r="A28" s="27"/>
      <c r="B28" s="1651"/>
      <c r="C28" s="1651"/>
      <c r="D28" s="1651"/>
      <c r="E28" s="1651"/>
      <c r="F28" s="1651"/>
      <c r="G28" s="1651"/>
      <c r="H28" s="1651"/>
      <c r="I28" s="1651"/>
      <c r="J28" s="1651"/>
      <c r="K28" s="1651"/>
      <c r="L28" s="1651"/>
      <c r="M28" s="1651"/>
      <c r="N28" s="1651"/>
      <c r="O28" s="1651"/>
      <c r="P28" s="1651"/>
      <c r="Q28" s="1651"/>
      <c r="R28" s="1651"/>
      <c r="S28" s="1651"/>
      <c r="T28" s="1651"/>
      <c r="U28" s="1651"/>
      <c r="V28" s="1651"/>
      <c r="W28" s="1651"/>
      <c r="X28" s="1651"/>
      <c r="Y28" s="1651"/>
      <c r="Z28" s="1651"/>
      <c r="AA28" s="1651"/>
      <c r="AB28" s="1651"/>
      <c r="AC28" s="1651"/>
      <c r="AD28" s="1651"/>
      <c r="AE28" s="1651"/>
      <c r="AF28" s="1651"/>
      <c r="AG28" s="1651"/>
      <c r="AH28" s="1651"/>
      <c r="AI28" s="1651"/>
      <c r="AJ28" s="1651"/>
      <c r="AK28" s="1651"/>
      <c r="AL28" s="103"/>
      <c r="AM28" s="27"/>
      <c r="AN28" s="627"/>
    </row>
    <row r="29" spans="1:42" s="4" customFormat="1" ht="31.7" customHeight="1">
      <c r="A29" s="27"/>
      <c r="B29" s="1651"/>
      <c r="C29" s="1651"/>
      <c r="D29" s="1651"/>
      <c r="E29" s="1651"/>
      <c r="F29" s="1651"/>
      <c r="G29" s="1651"/>
      <c r="H29" s="1651"/>
      <c r="I29" s="1651"/>
      <c r="J29" s="1651"/>
      <c r="K29" s="1651"/>
      <c r="L29" s="1651"/>
      <c r="M29" s="1651"/>
      <c r="N29" s="1651"/>
      <c r="O29" s="1651"/>
      <c r="P29" s="1651"/>
      <c r="Q29" s="1651"/>
      <c r="R29" s="1651"/>
      <c r="S29" s="1651"/>
      <c r="T29" s="1651"/>
      <c r="U29" s="1651"/>
      <c r="V29" s="1651"/>
      <c r="W29" s="1651"/>
      <c r="X29" s="1651"/>
      <c r="Y29" s="1651"/>
      <c r="Z29" s="1651"/>
      <c r="AA29" s="1651"/>
      <c r="AB29" s="1651"/>
      <c r="AC29" s="1651"/>
      <c r="AD29" s="1651"/>
      <c r="AE29" s="1651"/>
      <c r="AF29" s="1651"/>
      <c r="AG29" s="1651"/>
      <c r="AH29" s="1651"/>
      <c r="AI29" s="1651"/>
      <c r="AJ29" s="1651"/>
      <c r="AK29" s="1651"/>
      <c r="AL29" s="103"/>
      <c r="AM29" s="27"/>
      <c r="AN29" s="627"/>
      <c r="AO29" s="365" t="s">
        <v>84</v>
      </c>
      <c r="AP29" s="365"/>
    </row>
    <row r="30" spans="1:42" s="4" customFormat="1" ht="12.75" customHeight="1">
      <c r="A30" s="5"/>
      <c r="B30" s="1819"/>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0"/>
      <c r="AM30" s="5"/>
      <c r="AN30" s="627"/>
      <c r="AO30" s="365" t="s">
        <v>1300</v>
      </c>
      <c r="AP30" s="482">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70">
        <f>IF((AND(AND(OR(Application!D211="Nonprofit (qualified nonprofit organization)",Application!D211="Nonprofit (homeless assistance)",Application!D211="Special Needs/SRO"),Application!D214="Special Needs"),$AB$13="N/A")),VLOOKUP($B$16,$AO$14:$AP$16,2,FALSE),VLOOKUP($B$11,$AO$9:$AP$11,2,FALSE))</f>
        <v>7</v>
      </c>
      <c r="AK31" s="1670"/>
      <c r="AL31" s="10"/>
      <c r="AM31" s="5"/>
      <c r="AN31" s="627"/>
      <c r="AO31" s="365" t="s">
        <v>1299</v>
      </c>
      <c r="AP31" s="482">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7"/>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65</v>
      </c>
      <c r="AG33" s="1712"/>
      <c r="AH33" s="1712"/>
      <c r="AI33" s="1712"/>
      <c r="AJ33" s="1712"/>
      <c r="AK33" s="1712"/>
      <c r="AL33" s="1712"/>
      <c r="AM33" s="27"/>
      <c r="AN33" s="627"/>
      <c r="AO33" s="461"/>
      <c r="AP33" s="461"/>
    </row>
    <row r="34" spans="1:43" s="4" customFormat="1" ht="12.75" customHeight="1">
      <c r="A34" s="5"/>
      <c r="B34" s="20" t="s">
        <v>1166</v>
      </c>
      <c r="AA34" s="3"/>
      <c r="AB34" s="3"/>
      <c r="AC34" s="3"/>
      <c r="AD34" s="3"/>
      <c r="AM34" s="27"/>
      <c r="AN34" s="627"/>
      <c r="AO34" s="461"/>
      <c r="AP34" s="461"/>
    </row>
    <row r="35" spans="1:43" s="4" customFormat="1" ht="12.75" customHeight="1">
      <c r="A35" s="5"/>
      <c r="C35" s="1812" t="s">
        <v>1299</v>
      </c>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2">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3" t="s">
        <v>132</v>
      </c>
      <c r="AD37" s="1813"/>
      <c r="AM37" s="27"/>
      <c r="AN37" s="281"/>
      <c r="AO37" s="365" t="s">
        <v>1330</v>
      </c>
      <c r="AP37" s="482">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3"/>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2" t="s">
        <v>1165</v>
      </c>
      <c r="D40" s="1812"/>
      <c r="E40" s="1812"/>
      <c r="F40" s="1812"/>
      <c r="G40" s="1812"/>
      <c r="H40" s="1812"/>
      <c r="I40" s="1812"/>
      <c r="J40" s="1812"/>
      <c r="K40" s="1812"/>
      <c r="L40" s="1812"/>
      <c r="M40" s="1812"/>
      <c r="N40" s="1812"/>
      <c r="O40" s="1812"/>
      <c r="P40" s="1812"/>
      <c r="Q40" s="1812"/>
      <c r="R40" s="1812"/>
      <c r="S40" s="1812"/>
      <c r="T40" s="1812"/>
      <c r="U40" s="1812"/>
      <c r="V40" s="1812"/>
      <c r="W40" s="1812"/>
      <c r="X40" s="1812"/>
      <c r="Y40" s="1812"/>
      <c r="Z40" s="1812"/>
      <c r="AA40" s="1812"/>
      <c r="AB40" s="1812"/>
      <c r="AC40" s="1812"/>
      <c r="AD40" s="1812"/>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2" t="s">
        <v>2473</v>
      </c>
      <c r="D45" s="1812"/>
      <c r="E45" s="1812"/>
      <c r="F45" s="1812"/>
      <c r="G45" s="1812"/>
      <c r="H45" s="1812"/>
      <c r="I45" s="1812"/>
      <c r="J45" s="1812"/>
      <c r="K45" s="1812"/>
      <c r="L45" s="1812"/>
      <c r="M45" s="1812"/>
      <c r="N45" s="1812"/>
      <c r="O45" s="1812"/>
      <c r="P45" s="1812"/>
      <c r="Q45" s="1812"/>
      <c r="R45" s="1812"/>
      <c r="S45" s="1812"/>
      <c r="T45" s="1812"/>
      <c r="U45" s="1812"/>
      <c r="V45" s="1812"/>
      <c r="W45" s="1812"/>
      <c r="X45" s="1812"/>
      <c r="Y45" s="1812"/>
      <c r="Z45" s="1812"/>
      <c r="AA45" s="1812"/>
      <c r="AB45" s="1812"/>
      <c r="AC45" s="1812"/>
      <c r="AD45" s="1812"/>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4">
        <f>IF((AND(AND(OR(Application!D211="Nonprofit (qualified nonprofit organization)",Application!D211="Nonprofit (homeless assistance)",Application!D211="Special Needs/SRO"),Application!D214="Special Needs"),$AC$37="N/A")),VLOOKUP($C$40,$AO$35:$AP$37,2,FALSE),VLOOKUP($C$35,$AO$29:$AP$32,2,FALSE))</f>
        <v>3</v>
      </c>
      <c r="AK47" s="176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51" t="s">
        <v>1538</v>
      </c>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1651"/>
      <c r="Y49" s="1651"/>
      <c r="Z49" s="1651"/>
      <c r="AA49" s="1651"/>
      <c r="AB49" s="1651"/>
      <c r="AC49" s="1651"/>
      <c r="AD49" s="1651"/>
      <c r="AE49" s="1651"/>
      <c r="AF49" s="1651"/>
      <c r="AG49" s="1651"/>
      <c r="AH49" s="1651"/>
      <c r="AI49" s="1651"/>
      <c r="AJ49" s="1651"/>
      <c r="AK49" s="1651"/>
      <c r="AL49" s="103"/>
      <c r="AM49" s="27"/>
      <c r="AN49" s="281"/>
      <c r="AP49" s="4" t="s">
        <v>594</v>
      </c>
      <c r="AQ49" s="4">
        <v>10</v>
      </c>
    </row>
    <row r="50" spans="1:43" s="4" customFormat="1" ht="12.75" customHeight="1">
      <c r="A50" s="26"/>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1651"/>
      <c r="Y50" s="1651"/>
      <c r="Z50" s="1651"/>
      <c r="AA50" s="1651"/>
      <c r="AB50" s="1651"/>
      <c r="AC50" s="1651"/>
      <c r="AD50" s="1651"/>
      <c r="AE50" s="1651"/>
      <c r="AF50" s="1651"/>
      <c r="AG50" s="1651"/>
      <c r="AH50" s="1651"/>
      <c r="AI50" s="1651"/>
      <c r="AJ50" s="1651"/>
      <c r="AK50" s="1651"/>
      <c r="AL50" s="103"/>
      <c r="AM50" s="27"/>
      <c r="AN50" s="281"/>
      <c r="AP50" s="4" t="s">
        <v>650</v>
      </c>
      <c r="AQ50" s="4">
        <v>10</v>
      </c>
    </row>
    <row r="51" spans="1:43" s="4" customFormat="1" ht="12.75" customHeight="1">
      <c r="A51" s="26"/>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1651"/>
      <c r="Y51" s="1651"/>
      <c r="Z51" s="1651"/>
      <c r="AA51" s="1651"/>
      <c r="AB51" s="1651"/>
      <c r="AC51" s="1651"/>
      <c r="AD51" s="1651"/>
      <c r="AE51" s="1651"/>
      <c r="AF51" s="1651"/>
      <c r="AG51" s="1651"/>
      <c r="AH51" s="1651"/>
      <c r="AI51" s="1651"/>
      <c r="AJ51" s="1651"/>
      <c r="AK51" s="1651"/>
      <c r="AL51" s="103"/>
      <c r="AM51" s="27"/>
      <c r="AN51" s="281"/>
    </row>
    <row r="52" spans="1:43" s="4" customFormat="1" ht="12.75" customHeight="1">
      <c r="A52" s="26"/>
      <c r="B52" s="1651"/>
      <c r="C52" s="1651"/>
      <c r="D52" s="1651"/>
      <c r="E52" s="1651"/>
      <c r="F52" s="1651"/>
      <c r="G52" s="1651"/>
      <c r="H52" s="1651"/>
      <c r="I52" s="1651"/>
      <c r="J52" s="1651"/>
      <c r="K52" s="1651"/>
      <c r="L52" s="1651"/>
      <c r="M52" s="1651"/>
      <c r="N52" s="1651"/>
      <c r="O52" s="1651"/>
      <c r="P52" s="1651"/>
      <c r="Q52" s="1651"/>
      <c r="R52" s="1651"/>
      <c r="S52" s="1651"/>
      <c r="T52" s="1651"/>
      <c r="U52" s="1651"/>
      <c r="V52" s="1651"/>
      <c r="W52" s="1651"/>
      <c r="X52" s="1651"/>
      <c r="Y52" s="1651"/>
      <c r="Z52" s="1651"/>
      <c r="AA52" s="1651"/>
      <c r="AB52" s="1651"/>
      <c r="AC52" s="1651"/>
      <c r="AD52" s="1651"/>
      <c r="AE52" s="1651"/>
      <c r="AF52" s="1651"/>
      <c r="AG52" s="1651"/>
      <c r="AH52" s="1651"/>
      <c r="AI52" s="1651"/>
      <c r="AJ52" s="1651"/>
      <c r="AK52" s="1651"/>
      <c r="AL52" s="103"/>
      <c r="AM52" s="27"/>
      <c r="AN52" s="281"/>
    </row>
    <row r="53" spans="1:43" s="4" customFormat="1" ht="12.75" customHeight="1">
      <c r="A53" s="26"/>
      <c r="B53" s="1651"/>
      <c r="C53" s="1651"/>
      <c r="D53" s="1651"/>
      <c r="E53" s="1651"/>
      <c r="F53" s="1651"/>
      <c r="G53" s="1651"/>
      <c r="H53" s="1651"/>
      <c r="I53" s="1651"/>
      <c r="J53" s="1651"/>
      <c r="K53" s="1651"/>
      <c r="L53" s="1651"/>
      <c r="M53" s="1651"/>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c r="AJ53" s="1651"/>
      <c r="AK53" s="1651"/>
      <c r="AL53" s="103"/>
      <c r="AM53" s="27"/>
      <c r="AN53" s="281"/>
    </row>
    <row r="54" spans="1:43" s="4" customFormat="1" ht="12.75" customHeight="1">
      <c r="A54" s="26"/>
      <c r="B54" s="1651"/>
      <c r="C54" s="1651"/>
      <c r="D54" s="1651"/>
      <c r="E54" s="1651"/>
      <c r="F54" s="1651"/>
      <c r="G54" s="1651"/>
      <c r="H54" s="1651"/>
      <c r="I54" s="1651"/>
      <c r="J54" s="1651"/>
      <c r="K54" s="1651"/>
      <c r="L54" s="1651"/>
      <c r="M54" s="1651"/>
      <c r="N54" s="1651"/>
      <c r="O54" s="1651"/>
      <c r="P54" s="1651"/>
      <c r="Q54" s="1651"/>
      <c r="R54" s="1651"/>
      <c r="S54" s="1651"/>
      <c r="T54" s="1651"/>
      <c r="U54" s="1651"/>
      <c r="V54" s="1651"/>
      <c r="W54" s="1651"/>
      <c r="X54" s="1651"/>
      <c r="Y54" s="1651"/>
      <c r="Z54" s="1651"/>
      <c r="AA54" s="1651"/>
      <c r="AB54" s="1651"/>
      <c r="AC54" s="1651"/>
      <c r="AD54" s="1651"/>
      <c r="AE54" s="1651"/>
      <c r="AF54" s="1651"/>
      <c r="AG54" s="1651"/>
      <c r="AH54" s="1651"/>
      <c r="AI54" s="1651"/>
      <c r="AJ54" s="1651"/>
      <c r="AK54" s="1651"/>
      <c r="AL54" s="103"/>
      <c r="AM54" s="27"/>
      <c r="AN54" s="281"/>
    </row>
    <row r="55" spans="1:43" s="4" customFormat="1" ht="33.4" customHeight="1">
      <c r="A55" s="26"/>
      <c r="B55" s="1651"/>
      <c r="C55" s="1651"/>
      <c r="D55" s="1651"/>
      <c r="E55" s="1651"/>
      <c r="F55" s="1651"/>
      <c r="G55" s="1651"/>
      <c r="H55" s="1651"/>
      <c r="I55" s="1651"/>
      <c r="J55" s="1651"/>
      <c r="K55" s="1651"/>
      <c r="L55" s="1651"/>
      <c r="M55" s="1651"/>
      <c r="N55" s="1651"/>
      <c r="O55" s="1651"/>
      <c r="P55" s="1651"/>
      <c r="Q55" s="1651"/>
      <c r="R55" s="1651"/>
      <c r="S55" s="1651"/>
      <c r="T55" s="1651"/>
      <c r="U55" s="1651"/>
      <c r="V55" s="1651"/>
      <c r="W55" s="1651"/>
      <c r="X55" s="1651"/>
      <c r="Y55" s="1651"/>
      <c r="Z55" s="1651"/>
      <c r="AA55" s="1651"/>
      <c r="AB55" s="1651"/>
      <c r="AC55" s="1651"/>
      <c r="AD55" s="1651"/>
      <c r="AE55" s="1651"/>
      <c r="AF55" s="1651"/>
      <c r="AG55" s="1651"/>
      <c r="AH55" s="1651"/>
      <c r="AI55" s="1651"/>
      <c r="AJ55" s="1651"/>
      <c r="AK55" s="1651"/>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5"/>
      <c r="B57" s="1651" t="s">
        <v>2332</v>
      </c>
      <c r="C57" s="1651"/>
      <c r="D57" s="1651"/>
      <c r="E57" s="1651"/>
      <c r="F57" s="1651"/>
      <c r="G57" s="1651"/>
      <c r="H57" s="1651"/>
      <c r="I57" s="1651"/>
      <c r="J57" s="1651"/>
      <c r="K57" s="1651"/>
      <c r="L57" s="1651"/>
      <c r="M57" s="1651"/>
      <c r="N57" s="1651"/>
      <c r="O57" s="1651"/>
      <c r="P57" s="1651"/>
      <c r="Q57" s="1651"/>
      <c r="R57" s="1651"/>
      <c r="S57" s="1651"/>
      <c r="T57" s="1651"/>
      <c r="U57" s="1651"/>
      <c r="V57" s="1651"/>
      <c r="W57" s="1651"/>
      <c r="X57" s="1651"/>
      <c r="Y57" s="1651"/>
      <c r="Z57" s="1651"/>
      <c r="AA57" s="1651"/>
      <c r="AB57" s="1651"/>
      <c r="AC57" s="1651"/>
      <c r="AD57" s="1651"/>
      <c r="AE57" s="1651"/>
      <c r="AF57" s="1651"/>
      <c r="AG57" s="1651"/>
      <c r="AH57" s="1651"/>
      <c r="AI57" s="1651"/>
      <c r="AJ57" s="1651"/>
      <c r="AK57" s="1651"/>
      <c r="AL57" s="103"/>
      <c r="AM57" s="27"/>
      <c r="AN57" s="281"/>
    </row>
    <row r="58" spans="1:43" s="4" customFormat="1" ht="12.75" customHeight="1">
      <c r="B58" s="1651"/>
      <c r="C58" s="1651"/>
      <c r="D58" s="1651"/>
      <c r="E58" s="1651"/>
      <c r="F58" s="1651"/>
      <c r="G58" s="1651"/>
      <c r="H58" s="1651"/>
      <c r="I58" s="1651"/>
      <c r="J58" s="1651"/>
      <c r="K58" s="1651"/>
      <c r="L58" s="1651"/>
      <c r="M58" s="1651"/>
      <c r="N58" s="1651"/>
      <c r="O58" s="1651"/>
      <c r="P58" s="1651"/>
      <c r="Q58" s="1651"/>
      <c r="R58" s="1651"/>
      <c r="S58" s="1651"/>
      <c r="T58" s="1651"/>
      <c r="U58" s="1651"/>
      <c r="V58" s="1651"/>
      <c r="W58" s="1651"/>
      <c r="X58" s="1651"/>
      <c r="Y58" s="1651"/>
      <c r="Z58" s="1651"/>
      <c r="AA58" s="1651"/>
      <c r="AB58" s="1651"/>
      <c r="AC58" s="1651"/>
      <c r="AD58" s="1651"/>
      <c r="AE58" s="1651"/>
      <c r="AF58" s="1651"/>
      <c r="AG58" s="1651"/>
      <c r="AH58" s="1651"/>
      <c r="AI58" s="1651"/>
      <c r="AJ58" s="1651"/>
      <c r="AK58" s="1651"/>
      <c r="AL58" s="103"/>
      <c r="AM58" s="27"/>
      <c r="AN58" s="281"/>
    </row>
    <row r="59" spans="1:43" s="4" customFormat="1" ht="22.9" customHeight="1">
      <c r="A59" s="435"/>
      <c r="B59" s="1651"/>
      <c r="C59" s="1651"/>
      <c r="D59" s="1651"/>
      <c r="E59" s="1651"/>
      <c r="F59" s="1651"/>
      <c r="G59" s="1651"/>
      <c r="H59" s="1651"/>
      <c r="I59" s="1651"/>
      <c r="J59" s="1651"/>
      <c r="K59" s="1651"/>
      <c r="L59" s="1651"/>
      <c r="M59" s="1651"/>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c r="AJ59" s="1651"/>
      <c r="AK59" s="1651"/>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50">
        <f>$AJ$31+$AJ$47</f>
        <v>10</v>
      </c>
      <c r="AL61" s="1751"/>
      <c r="AM61" s="1752"/>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6" t="s">
        <v>389</v>
      </c>
      <c r="AF64" s="1816"/>
      <c r="AG64" s="1816"/>
      <c r="AH64" s="1816"/>
      <c r="AI64" s="1816"/>
      <c r="AJ64" s="1816"/>
      <c r="AK64" s="181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2" t="s">
        <v>594</v>
      </c>
      <c r="C66" s="1812"/>
      <c r="D66" s="1812"/>
      <c r="E66" s="1812"/>
      <c r="F66" s="1812"/>
      <c r="G66" s="1812"/>
      <c r="H66" s="1812"/>
      <c r="I66" s="1812"/>
      <c r="J66" s="1812"/>
      <c r="K66" s="1812"/>
      <c r="AF66" s="1712" t="s">
        <v>981</v>
      </c>
      <c r="AG66" s="1712"/>
      <c r="AH66" s="1712"/>
      <c r="AI66" s="1712"/>
      <c r="AJ66" s="1712"/>
      <c r="AK66" s="1712"/>
      <c r="AL66" s="1712"/>
      <c r="AN66" s="281"/>
      <c r="AP66" s="4" t="s">
        <v>132</v>
      </c>
    </row>
    <row r="67" spans="1:42" s="4" customFormat="1" ht="12.75" customHeight="1">
      <c r="B67" s="1822" t="s">
        <v>1371</v>
      </c>
      <c r="C67" s="1822"/>
      <c r="D67" s="1822"/>
      <c r="E67" s="1822"/>
      <c r="F67" s="1822"/>
      <c r="G67" s="1822"/>
      <c r="H67" s="1822"/>
      <c r="I67" s="1822"/>
      <c r="J67" s="1822"/>
      <c r="K67" s="1822"/>
      <c r="L67" s="1822"/>
      <c r="M67" s="1822"/>
      <c r="N67" s="1822"/>
      <c r="O67" s="1822"/>
      <c r="P67" s="1822"/>
      <c r="Q67" s="1822"/>
      <c r="R67" s="1822"/>
      <c r="S67" s="1822"/>
      <c r="T67" s="1812" t="s">
        <v>132</v>
      </c>
      <c r="U67" s="1812"/>
      <c r="V67" s="1812"/>
      <c r="W67" s="1812"/>
      <c r="X67" s="1812"/>
      <c r="Y67" s="1812"/>
      <c r="Z67" s="1812"/>
      <c r="AA67" s="1812"/>
      <c r="AB67" s="1812"/>
      <c r="AC67" s="1812"/>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5">
        <f>VLOOKUP($B$66,$AP$45:$AR$50,2,FALSE)</f>
        <v>10</v>
      </c>
      <c r="AL68" s="1256"/>
      <c r="AM68" s="1256"/>
      <c r="AN68" s="683"/>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6" t="s">
        <v>1020</v>
      </c>
      <c r="AF73" s="1816"/>
      <c r="AG73" s="1816"/>
      <c r="AH73" s="1816"/>
      <c r="AI73" s="1816"/>
      <c r="AJ73" s="1816"/>
      <c r="AK73" s="181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1" t="s">
        <v>2241</v>
      </c>
      <c r="C75" s="1651"/>
      <c r="D75" s="1651"/>
      <c r="E75" s="1651"/>
      <c r="F75" s="1651"/>
      <c r="G75" s="1651"/>
      <c r="H75" s="1651"/>
      <c r="I75" s="1651"/>
      <c r="J75" s="1651"/>
      <c r="K75" s="1651"/>
      <c r="L75" s="1651"/>
      <c r="M75" s="1651"/>
      <c r="N75" s="1651"/>
      <c r="O75" s="1651"/>
      <c r="P75" s="1651"/>
      <c r="Q75" s="1651"/>
      <c r="R75" s="1651"/>
      <c r="S75" s="1651"/>
      <c r="T75" s="1651"/>
      <c r="U75" s="1651"/>
      <c r="V75" s="1651"/>
      <c r="W75" s="1651"/>
      <c r="X75" s="1651"/>
      <c r="Y75" s="1651"/>
      <c r="Z75" s="1651"/>
      <c r="AA75" s="1651"/>
      <c r="AB75" s="1651"/>
      <c r="AC75" s="1651"/>
      <c r="AD75" s="1651"/>
      <c r="AE75" s="1651"/>
      <c r="AF75" s="1651"/>
      <c r="AG75" s="1651"/>
      <c r="AH75" s="1651"/>
      <c r="AI75" s="1651"/>
      <c r="AJ75" s="1651"/>
      <c r="AK75" s="1651"/>
      <c r="AL75" s="103"/>
      <c r="AM75" s="27"/>
      <c r="AN75" s="281"/>
    </row>
    <row r="76" spans="1:42" s="4" customFormat="1" ht="12.75" customHeight="1">
      <c r="A76" s="27"/>
      <c r="B76" s="1651"/>
      <c r="C76" s="1651"/>
      <c r="D76" s="1651"/>
      <c r="E76" s="1651"/>
      <c r="F76" s="1651"/>
      <c r="G76" s="1651"/>
      <c r="H76" s="1651"/>
      <c r="I76" s="1651"/>
      <c r="J76" s="1651"/>
      <c r="K76" s="1651"/>
      <c r="L76" s="1651"/>
      <c r="M76" s="1651"/>
      <c r="N76" s="1651"/>
      <c r="O76" s="1651"/>
      <c r="P76" s="1651"/>
      <c r="Q76" s="1651"/>
      <c r="R76" s="1651"/>
      <c r="S76" s="1651"/>
      <c r="T76" s="1651"/>
      <c r="U76" s="1651"/>
      <c r="V76" s="1651"/>
      <c r="W76" s="1651"/>
      <c r="X76" s="1651"/>
      <c r="Y76" s="1651"/>
      <c r="Z76" s="1651"/>
      <c r="AA76" s="1651"/>
      <c r="AB76" s="1651"/>
      <c r="AC76" s="1651"/>
      <c r="AD76" s="1651"/>
      <c r="AE76" s="1651"/>
      <c r="AF76" s="1651"/>
      <c r="AG76" s="1651"/>
      <c r="AH76" s="1651"/>
      <c r="AI76" s="1651"/>
      <c r="AJ76" s="1651"/>
      <c r="AK76" s="1651"/>
      <c r="AL76" s="103"/>
      <c r="AM76" s="27"/>
      <c r="AN76" s="281"/>
    </row>
    <row r="77" spans="1:42" s="4" customFormat="1" ht="12.75" customHeight="1">
      <c r="A77" s="27"/>
      <c r="B77" s="1651"/>
      <c r="C77" s="1651"/>
      <c r="D77" s="1651"/>
      <c r="E77" s="1651"/>
      <c r="F77" s="1651"/>
      <c r="G77" s="1651"/>
      <c r="H77" s="1651"/>
      <c r="I77" s="1651"/>
      <c r="J77" s="1651"/>
      <c r="K77" s="1651"/>
      <c r="L77" s="1651"/>
      <c r="M77" s="1651"/>
      <c r="N77" s="1651"/>
      <c r="O77" s="1651"/>
      <c r="P77" s="1651"/>
      <c r="Q77" s="1651"/>
      <c r="R77" s="1651"/>
      <c r="S77" s="1651"/>
      <c r="T77" s="1651"/>
      <c r="U77" s="1651"/>
      <c r="V77" s="1651"/>
      <c r="W77" s="1651"/>
      <c r="X77" s="1651"/>
      <c r="Y77" s="1651"/>
      <c r="Z77" s="1651"/>
      <c r="AA77" s="1651"/>
      <c r="AB77" s="1651"/>
      <c r="AC77" s="1651"/>
      <c r="AD77" s="1651"/>
      <c r="AE77" s="1651"/>
      <c r="AF77" s="1651"/>
      <c r="AG77" s="1651"/>
      <c r="AH77" s="1651"/>
      <c r="AI77" s="1651"/>
      <c r="AJ77" s="1651"/>
      <c r="AK77" s="1651"/>
      <c r="AL77" s="103"/>
      <c r="AM77" s="27"/>
      <c r="AN77" s="281"/>
    </row>
    <row r="78" spans="1:42" s="4" customFormat="1" ht="12.75" customHeight="1">
      <c r="A78" s="27"/>
      <c r="B78" s="1651"/>
      <c r="C78" s="1651"/>
      <c r="D78" s="1651"/>
      <c r="E78" s="1651"/>
      <c r="F78" s="1651"/>
      <c r="G78" s="1651"/>
      <c r="H78" s="1651"/>
      <c r="I78" s="1651"/>
      <c r="J78" s="1651"/>
      <c r="K78" s="1651"/>
      <c r="L78" s="1651"/>
      <c r="M78" s="1651"/>
      <c r="N78" s="1651"/>
      <c r="O78" s="1651"/>
      <c r="P78" s="1651"/>
      <c r="Q78" s="1651"/>
      <c r="R78" s="1651"/>
      <c r="S78" s="1651"/>
      <c r="T78" s="1651"/>
      <c r="U78" s="1651"/>
      <c r="V78" s="1651"/>
      <c r="W78" s="1651"/>
      <c r="X78" s="1651"/>
      <c r="Y78" s="1651"/>
      <c r="Z78" s="1651"/>
      <c r="AA78" s="1651"/>
      <c r="AB78" s="1651"/>
      <c r="AC78" s="1651"/>
      <c r="AD78" s="1651"/>
      <c r="AE78" s="1651"/>
      <c r="AF78" s="1651"/>
      <c r="AG78" s="1651"/>
      <c r="AH78" s="1651"/>
      <c r="AI78" s="1651"/>
      <c r="AJ78" s="1651"/>
      <c r="AK78" s="1651"/>
      <c r="AL78" s="103"/>
      <c r="AM78" s="27"/>
      <c r="AN78" s="281"/>
    </row>
    <row r="79" spans="1:42" s="4" customFormat="1" ht="12.75" customHeight="1">
      <c r="A79" s="27"/>
      <c r="B79" s="1651"/>
      <c r="C79" s="1651"/>
      <c r="D79" s="1651"/>
      <c r="E79" s="1651"/>
      <c r="F79" s="1651"/>
      <c r="G79" s="1651"/>
      <c r="H79" s="1651"/>
      <c r="I79" s="1651"/>
      <c r="J79" s="1651"/>
      <c r="K79" s="1651"/>
      <c r="L79" s="1651"/>
      <c r="M79" s="1651"/>
      <c r="N79" s="1651"/>
      <c r="O79" s="1651"/>
      <c r="P79" s="1651"/>
      <c r="Q79" s="1651"/>
      <c r="R79" s="1651"/>
      <c r="S79" s="1651"/>
      <c r="T79" s="1651"/>
      <c r="U79" s="1651"/>
      <c r="V79" s="1651"/>
      <c r="W79" s="1651"/>
      <c r="X79" s="1651"/>
      <c r="Y79" s="1651"/>
      <c r="Z79" s="1651"/>
      <c r="AA79" s="1651"/>
      <c r="AB79" s="1651"/>
      <c r="AC79" s="1651"/>
      <c r="AD79" s="1651"/>
      <c r="AE79" s="1651"/>
      <c r="AF79" s="1651"/>
      <c r="AG79" s="1651"/>
      <c r="AH79" s="1651"/>
      <c r="AI79" s="1651"/>
      <c r="AJ79" s="1651"/>
      <c r="AK79" s="1651"/>
      <c r="AL79" s="103"/>
      <c r="AM79" s="27"/>
      <c r="AN79" s="281"/>
    </row>
    <row r="80" spans="1:42" s="4" customFormat="1" ht="12.75" customHeight="1">
      <c r="A80" s="27"/>
      <c r="B80" s="1651"/>
      <c r="C80" s="1651"/>
      <c r="D80" s="1651"/>
      <c r="E80" s="1651"/>
      <c r="F80" s="1651"/>
      <c r="G80" s="1651"/>
      <c r="H80" s="1651"/>
      <c r="I80" s="1651"/>
      <c r="J80" s="1651"/>
      <c r="K80" s="1651"/>
      <c r="L80" s="1651"/>
      <c r="M80" s="1651"/>
      <c r="N80" s="1651"/>
      <c r="O80" s="1651"/>
      <c r="P80" s="1651"/>
      <c r="Q80" s="1651"/>
      <c r="R80" s="1651"/>
      <c r="S80" s="1651"/>
      <c r="T80" s="1651"/>
      <c r="U80" s="1651"/>
      <c r="V80" s="1651"/>
      <c r="W80" s="1651"/>
      <c r="X80" s="1651"/>
      <c r="Y80" s="1651"/>
      <c r="Z80" s="1651"/>
      <c r="AA80" s="1651"/>
      <c r="AB80" s="1651"/>
      <c r="AC80" s="1651"/>
      <c r="AD80" s="1651"/>
      <c r="AE80" s="1651"/>
      <c r="AF80" s="1651"/>
      <c r="AG80" s="1651"/>
      <c r="AH80" s="1651"/>
      <c r="AI80" s="1651"/>
      <c r="AJ80" s="1651"/>
      <c r="AK80" s="1651"/>
      <c r="AL80" s="103"/>
      <c r="AM80" s="27"/>
      <c r="AN80" s="281"/>
    </row>
    <row r="81" spans="1:42" ht="12.75" customHeight="1">
      <c r="A81" s="27"/>
      <c r="B81" s="1651"/>
      <c r="C81" s="1651"/>
      <c r="D81" s="1651"/>
      <c r="E81" s="1651"/>
      <c r="F81" s="1651"/>
      <c r="G81" s="1651"/>
      <c r="H81" s="1651"/>
      <c r="I81" s="1651"/>
      <c r="J81" s="1651"/>
      <c r="K81" s="1651"/>
      <c r="L81" s="1651"/>
      <c r="M81" s="1651"/>
      <c r="N81" s="1651"/>
      <c r="O81" s="1651"/>
      <c r="P81" s="1651"/>
      <c r="Q81" s="1651"/>
      <c r="R81" s="1651"/>
      <c r="S81" s="1651"/>
      <c r="T81" s="1651"/>
      <c r="U81" s="1651"/>
      <c r="V81" s="1651"/>
      <c r="W81" s="1651"/>
      <c r="X81" s="1651"/>
      <c r="Y81" s="1651"/>
      <c r="Z81" s="1651"/>
      <c r="AA81" s="1651"/>
      <c r="AB81" s="1651"/>
      <c r="AC81" s="1651"/>
      <c r="AD81" s="1651"/>
      <c r="AE81" s="1651"/>
      <c r="AF81" s="1651"/>
      <c r="AG81" s="1651"/>
      <c r="AH81" s="1651"/>
      <c r="AI81" s="1651"/>
      <c r="AJ81" s="1651"/>
      <c r="AK81" s="1651"/>
      <c r="AL81" s="103"/>
      <c r="AM81" s="27"/>
    </row>
    <row r="82" spans="1:42" s="4" customFormat="1" ht="12.75" customHeight="1">
      <c r="B82" s="1651"/>
      <c r="C82" s="1651"/>
      <c r="D82" s="1651"/>
      <c r="E82" s="1651"/>
      <c r="F82" s="1651"/>
      <c r="G82" s="1651"/>
      <c r="H82" s="1651"/>
      <c r="I82" s="1651"/>
      <c r="J82" s="1651"/>
      <c r="K82" s="1651"/>
      <c r="L82" s="1651"/>
      <c r="M82" s="1651"/>
      <c r="N82" s="1651"/>
      <c r="O82" s="1651"/>
      <c r="P82" s="1651"/>
      <c r="Q82" s="1651"/>
      <c r="R82" s="1651"/>
      <c r="S82" s="1651"/>
      <c r="T82" s="1651"/>
      <c r="U82" s="1651"/>
      <c r="V82" s="1651"/>
      <c r="W82" s="1651"/>
      <c r="X82" s="1651"/>
      <c r="Y82" s="1651"/>
      <c r="Z82" s="1651"/>
      <c r="AA82" s="1651"/>
      <c r="AB82" s="1651"/>
      <c r="AC82" s="1651"/>
      <c r="AD82" s="1651"/>
      <c r="AE82" s="1651"/>
      <c r="AF82" s="1651"/>
      <c r="AG82" s="1651"/>
      <c r="AH82" s="1651"/>
      <c r="AI82" s="1651"/>
      <c r="AJ82" s="1651"/>
      <c r="AK82" s="1651"/>
      <c r="AL82" s="103"/>
      <c r="AN82" s="281"/>
    </row>
    <row r="83" spans="1:42" s="4" customFormat="1" ht="12.75" customHeight="1">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03"/>
      <c r="AN83" s="281"/>
    </row>
    <row r="84" spans="1:42" s="4" customFormat="1" ht="14.45" customHeight="1">
      <c r="B84" s="1651"/>
      <c r="C84" s="1651"/>
      <c r="D84" s="1651"/>
      <c r="E84" s="1651"/>
      <c r="F84" s="1651"/>
      <c r="G84" s="1651"/>
      <c r="H84" s="1651"/>
      <c r="I84" s="1651"/>
      <c r="J84" s="1651"/>
      <c r="K84" s="1651"/>
      <c r="L84" s="1651"/>
      <c r="M84" s="1651"/>
      <c r="N84" s="1651"/>
      <c r="O84" s="1651"/>
      <c r="P84" s="1651"/>
      <c r="Q84" s="1651"/>
      <c r="R84" s="1651"/>
      <c r="S84" s="1651"/>
      <c r="T84" s="1651"/>
      <c r="U84" s="1651"/>
      <c r="V84" s="1651"/>
      <c r="W84" s="1651"/>
      <c r="X84" s="1651"/>
      <c r="Y84" s="1651"/>
      <c r="Z84" s="1651"/>
      <c r="AA84" s="1651"/>
      <c r="AB84" s="1651"/>
      <c r="AC84" s="1651"/>
      <c r="AD84" s="1651"/>
      <c r="AE84" s="1651"/>
      <c r="AF84" s="1651"/>
      <c r="AG84" s="1651"/>
      <c r="AH84" s="1651"/>
      <c r="AI84" s="1651"/>
      <c r="AJ84" s="1651"/>
      <c r="AK84" s="1651"/>
      <c r="AL84" s="103"/>
      <c r="AN84" s="281"/>
    </row>
    <row r="85" spans="1:42" s="4" customFormat="1" ht="12.75" customHeight="1">
      <c r="B85" s="1651"/>
      <c r="C85" s="1651"/>
      <c r="D85" s="1651"/>
      <c r="E85" s="1651"/>
      <c r="F85" s="1651"/>
      <c r="G85" s="1651"/>
      <c r="H85" s="1651"/>
      <c r="I85" s="1651"/>
      <c r="J85" s="1651"/>
      <c r="K85" s="1651"/>
      <c r="L85" s="1651"/>
      <c r="M85" s="1651"/>
      <c r="N85" s="1651"/>
      <c r="O85" s="1651"/>
      <c r="P85" s="1651"/>
      <c r="Q85" s="1651"/>
      <c r="R85" s="1651"/>
      <c r="S85" s="1651"/>
      <c r="T85" s="1651"/>
      <c r="U85" s="1651"/>
      <c r="V85" s="1651"/>
      <c r="W85" s="1651"/>
      <c r="X85" s="1651"/>
      <c r="Y85" s="1651"/>
      <c r="Z85" s="1651"/>
      <c r="AA85" s="1651"/>
      <c r="AB85" s="1651"/>
      <c r="AC85" s="1651"/>
      <c r="AD85" s="1651"/>
      <c r="AE85" s="1651"/>
      <c r="AF85" s="1651"/>
      <c r="AG85" s="1651"/>
      <c r="AH85" s="1651"/>
      <c r="AI85" s="1651"/>
      <c r="AJ85" s="1651"/>
      <c r="AK85" s="1651"/>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5"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2" t="s">
        <v>894</v>
      </c>
      <c r="AG90" s="1712"/>
      <c r="AH90" s="1712"/>
      <c r="AI90" s="1712"/>
      <c r="AJ90" s="1712"/>
      <c r="AK90" s="1712"/>
      <c r="AL90" s="1712"/>
      <c r="AN90" s="281"/>
    </row>
    <row r="91" spans="1:42" s="4" customFormat="1" ht="12.75" customHeight="1">
      <c r="C91" s="19"/>
      <c r="D91" s="26"/>
      <c r="E91" s="435"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5"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5"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5"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62</v>
      </c>
      <c r="AG95" s="1712"/>
      <c r="AH95" s="1712"/>
      <c r="AI95" s="1712"/>
      <c r="AJ95" s="1712"/>
      <c r="AK95" s="1712"/>
      <c r="AL95" s="1712"/>
      <c r="AN95" s="281"/>
    </row>
    <row r="96" spans="1:42" s="4" customFormat="1" ht="12.75" customHeight="1">
      <c r="B96" s="5"/>
      <c r="C96" s="115"/>
      <c r="D96" s="26"/>
      <c r="E96" s="435"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4">
        <v>0</v>
      </c>
    </row>
    <row r="97" spans="1:53" s="4" customFormat="1" ht="12.75" customHeight="1">
      <c r="B97" s="42"/>
      <c r="C97" s="45"/>
      <c r="D97" s="26"/>
      <c r="E97" s="435"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5"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5"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63</v>
      </c>
      <c r="AG100" s="1712"/>
      <c r="AH100" s="1712"/>
      <c r="AI100" s="1712"/>
      <c r="AJ100" s="1712"/>
      <c r="AK100" s="1712"/>
      <c r="AL100" s="1712"/>
      <c r="AN100" s="281"/>
      <c r="AO100" s="26" t="s">
        <v>766</v>
      </c>
      <c r="AP100" s="4">
        <v>4</v>
      </c>
    </row>
    <row r="101" spans="1:53" s="4" customFormat="1" ht="12.75" customHeight="1">
      <c r="B101" s="5"/>
      <c r="C101" s="115"/>
      <c r="D101" s="26"/>
      <c r="E101" s="435"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5"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5"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5"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64</v>
      </c>
      <c r="AG105" s="1712"/>
      <c r="AH105" s="1712"/>
      <c r="AI105" s="1712"/>
      <c r="AJ105" s="1712"/>
      <c r="AK105" s="1712"/>
      <c r="AL105" s="1712"/>
      <c r="AN105" s="281"/>
      <c r="AO105" s="4" t="str">
        <f>S133</f>
        <v>N/A</v>
      </c>
    </row>
    <row r="106" spans="1:53" s="4" customFormat="1" ht="12.75" customHeight="1">
      <c r="B106" s="5"/>
      <c r="C106" s="115"/>
      <c r="D106" s="26"/>
      <c r="E106" s="435"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5"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5"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65</v>
      </c>
      <c r="AG109" s="1712"/>
      <c r="AH109" s="1712"/>
      <c r="AI109" s="1712"/>
      <c r="AJ109" s="1712"/>
      <c r="AK109" s="1712"/>
      <c r="AL109" s="1712"/>
      <c r="AN109" s="281"/>
      <c r="AO109" s="4" t="s">
        <v>2205</v>
      </c>
    </row>
    <row r="110" spans="1:53" s="4" customFormat="1" ht="12.75" customHeight="1">
      <c r="B110" s="5"/>
      <c r="C110" s="45"/>
      <c r="D110" s="26"/>
      <c r="E110" s="435"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4">
        <v>0</v>
      </c>
      <c r="AT111" s="4" t="s">
        <v>132</v>
      </c>
      <c r="AU111" s="484">
        <v>0</v>
      </c>
    </row>
    <row r="112" spans="1:53" s="4" customFormat="1" ht="12.75" customHeight="1">
      <c r="B112" s="5"/>
      <c r="C112" s="115"/>
      <c r="D112" s="4" t="s">
        <v>157</v>
      </c>
      <c r="E112" s="116"/>
      <c r="F112" s="116"/>
      <c r="G112" s="116"/>
      <c r="H112" s="1817" t="s">
        <v>611</v>
      </c>
      <c r="I112" s="1817"/>
      <c r="J112" s="116"/>
      <c r="K112" s="116"/>
      <c r="L112" s="116"/>
      <c r="M112" s="116"/>
      <c r="O112" s="955" t="s">
        <v>2203</v>
      </c>
      <c r="T112" s="1821"/>
      <c r="U112" s="1821"/>
      <c r="V112" s="1821"/>
      <c r="W112" s="1821"/>
      <c r="X112" s="1821"/>
      <c r="Y112" s="1821"/>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4">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20" t="s">
        <v>132</v>
      </c>
      <c r="I118" s="1820"/>
      <c r="J118" s="1820"/>
      <c r="K118" s="1820"/>
      <c r="L118" s="1820"/>
      <c r="M118" s="1820"/>
      <c r="N118" s="1820"/>
      <c r="O118" s="1820"/>
      <c r="P118" s="1820"/>
      <c r="Q118" s="1820"/>
      <c r="R118" s="1820"/>
      <c r="S118" s="1820"/>
      <c r="T118" s="1820"/>
      <c r="U118" s="1820"/>
      <c r="V118" s="1820"/>
      <c r="W118" s="1820"/>
      <c r="X118" s="1820"/>
      <c r="Y118" s="1820"/>
      <c r="Z118" s="1820"/>
      <c r="AA118" s="1820"/>
      <c r="AB118" s="1820"/>
      <c r="AC118" s="1820"/>
      <c r="AD118" s="1820"/>
      <c r="AE118" s="1820"/>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51" t="s">
        <v>1847</v>
      </c>
      <c r="F120" s="1651"/>
      <c r="G120" s="1651"/>
      <c r="H120" s="1651"/>
      <c r="I120" s="1651"/>
      <c r="J120" s="1651"/>
      <c r="K120" s="1651"/>
      <c r="L120" s="1651"/>
      <c r="M120" s="1651"/>
      <c r="N120" s="1651"/>
      <c r="O120" s="1651"/>
      <c r="P120" s="1651"/>
      <c r="Q120" s="1651"/>
      <c r="R120" s="1651"/>
      <c r="S120" s="1651"/>
      <c r="T120" s="1651"/>
      <c r="U120" s="1651"/>
      <c r="V120" s="1651"/>
      <c r="W120" s="1651"/>
      <c r="X120" s="1651"/>
      <c r="Y120" s="1651"/>
      <c r="Z120" s="1651"/>
      <c r="AA120" s="1651"/>
      <c r="AB120" s="1651"/>
      <c r="AC120" s="1651"/>
      <c r="AD120" s="1651"/>
      <c r="AE120" s="1651"/>
      <c r="AF120" s="1651"/>
      <c r="AG120" s="1651"/>
      <c r="AH120" s="49"/>
      <c r="AI120" s="49"/>
      <c r="AJ120" s="49"/>
      <c r="AK120" s="49"/>
      <c r="AL120" s="49"/>
      <c r="AN120" s="281"/>
    </row>
    <row r="121" spans="1:47" s="4" customFormat="1" ht="12.75" customHeight="1">
      <c r="B121" s="5"/>
      <c r="C121" s="115"/>
      <c r="D121" s="49"/>
      <c r="E121" s="1651"/>
      <c r="F121" s="1651"/>
      <c r="G121" s="1651"/>
      <c r="H121" s="1651"/>
      <c r="I121" s="1651"/>
      <c r="J121" s="1651"/>
      <c r="K121" s="1651"/>
      <c r="L121" s="1651"/>
      <c r="M121" s="1651"/>
      <c r="N121" s="1651"/>
      <c r="O121" s="1651"/>
      <c r="P121" s="1651"/>
      <c r="Q121" s="1651"/>
      <c r="R121" s="1651"/>
      <c r="S121" s="1651"/>
      <c r="T121" s="1651"/>
      <c r="U121" s="1651"/>
      <c r="V121" s="1651"/>
      <c r="W121" s="1651"/>
      <c r="X121" s="1651"/>
      <c r="Y121" s="1651"/>
      <c r="Z121" s="1651"/>
      <c r="AA121" s="1651"/>
      <c r="AB121" s="1651"/>
      <c r="AC121" s="1651"/>
      <c r="AD121" s="1651"/>
      <c r="AE121" s="1651"/>
      <c r="AF121" s="1651"/>
      <c r="AG121" s="1651"/>
      <c r="AH121" s="49"/>
      <c r="AI121" s="49"/>
      <c r="AJ121" s="49"/>
      <c r="AK121" s="49"/>
      <c r="AL121" s="49"/>
      <c r="AN121" s="281"/>
    </row>
    <row r="122" spans="1:47" s="4" customFormat="1" ht="12.75" customHeight="1">
      <c r="B122" s="5"/>
      <c r="C122" s="115"/>
      <c r="D122" s="49"/>
      <c r="E122" s="1651"/>
      <c r="F122" s="1651"/>
      <c r="G122" s="1651"/>
      <c r="H122" s="1651"/>
      <c r="I122" s="1651"/>
      <c r="J122" s="1651"/>
      <c r="K122" s="1651"/>
      <c r="L122" s="1651"/>
      <c r="M122" s="1651"/>
      <c r="N122" s="1651"/>
      <c r="O122" s="1651"/>
      <c r="P122" s="1651"/>
      <c r="Q122" s="1651"/>
      <c r="R122" s="1651"/>
      <c r="S122" s="1651"/>
      <c r="T122" s="1651"/>
      <c r="U122" s="1651"/>
      <c r="V122" s="1651"/>
      <c r="W122" s="1651"/>
      <c r="X122" s="1651"/>
      <c r="Y122" s="1651"/>
      <c r="Z122" s="1651"/>
      <c r="AA122" s="1651"/>
      <c r="AB122" s="1651"/>
      <c r="AC122" s="1651"/>
      <c r="AD122" s="1651"/>
      <c r="AE122" s="1651"/>
      <c r="AF122" s="1651"/>
      <c r="AG122" s="1651"/>
      <c r="AH122" s="49"/>
      <c r="AI122" s="49"/>
      <c r="AJ122" s="49"/>
      <c r="AK122" s="49"/>
      <c r="AL122" s="49"/>
      <c r="AN122" s="281"/>
    </row>
    <row r="123" spans="1:47" s="4" customFormat="1" ht="12.75" customHeight="1">
      <c r="B123" s="5"/>
      <c r="C123" s="115"/>
      <c r="D123" s="299"/>
      <c r="E123" s="1819"/>
      <c r="F123" s="1819"/>
      <c r="G123" s="1819"/>
      <c r="H123" s="1819"/>
      <c r="I123" s="1819"/>
      <c r="J123" s="1819"/>
      <c r="K123" s="1819"/>
      <c r="L123" s="1819"/>
      <c r="M123" s="1819"/>
      <c r="N123" s="1819"/>
      <c r="O123" s="1819"/>
      <c r="P123" s="1819"/>
      <c r="Q123" s="1819"/>
      <c r="R123" s="1819"/>
      <c r="S123" s="1819"/>
      <c r="T123" s="1819"/>
      <c r="U123" s="1819"/>
      <c r="V123" s="1819"/>
      <c r="W123" s="1819"/>
      <c r="X123" s="1819"/>
      <c r="Y123" s="1819"/>
      <c r="Z123" s="1819"/>
      <c r="AA123" s="1819"/>
      <c r="AB123" s="1819"/>
      <c r="AC123" s="1819"/>
      <c r="AD123" s="1819"/>
      <c r="AE123" s="1819"/>
      <c r="AF123" s="1819"/>
      <c r="AG123" s="181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5">
        <f>VLOOKUP($H$112,$AO$96:$AP$101,2,FALSE)+IF(T112=AO108,0,VLOOKUP($H$118,$AO$116:$AP$118,2,FALSE))</f>
        <v>7</v>
      </c>
      <c r="AK124" s="125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8" t="s">
        <v>1920</v>
      </c>
      <c r="F128" s="1818"/>
      <c r="G128" s="1818"/>
      <c r="H128" s="1818"/>
      <c r="I128" s="1818"/>
      <c r="J128" s="1818"/>
      <c r="K128" s="1818"/>
      <c r="L128" s="1818"/>
      <c r="M128" s="1818"/>
      <c r="N128" s="1818"/>
      <c r="O128" s="1818"/>
      <c r="P128" s="1818"/>
      <c r="Q128" s="1818"/>
      <c r="R128" s="1818"/>
      <c r="S128" s="1818"/>
      <c r="T128" s="1818"/>
      <c r="U128" s="1818"/>
      <c r="V128" s="1818"/>
      <c r="W128" s="1818"/>
      <c r="X128" s="1818"/>
      <c r="Y128" s="1818"/>
      <c r="Z128" s="1818"/>
      <c r="AA128" s="1818"/>
      <c r="AB128" s="1818"/>
      <c r="AC128" s="1818"/>
      <c r="AD128" s="1818"/>
      <c r="AF128" s="1712" t="s">
        <v>65</v>
      </c>
      <c r="AG128" s="1712"/>
      <c r="AH128" s="1712"/>
      <c r="AI128" s="1712"/>
      <c r="AJ128" s="1712"/>
      <c r="AK128" s="1712"/>
      <c r="AL128" s="1712"/>
      <c r="AM128" s="4"/>
      <c r="AN128" s="298"/>
    </row>
    <row r="129" spans="1:42" s="4" customFormat="1" ht="12.75" customHeight="1">
      <c r="A129" s="120"/>
      <c r="B129" s="5"/>
      <c r="C129" s="115"/>
      <c r="D129" s="26"/>
      <c r="E129" s="1818"/>
      <c r="F129" s="1818"/>
      <c r="G129" s="1818"/>
      <c r="H129" s="1818"/>
      <c r="I129" s="1818"/>
      <c r="J129" s="1818"/>
      <c r="K129" s="1818"/>
      <c r="L129" s="1818"/>
      <c r="M129" s="1818"/>
      <c r="N129" s="1818"/>
      <c r="O129" s="1818"/>
      <c r="P129" s="1818"/>
      <c r="Q129" s="1818"/>
      <c r="R129" s="1818"/>
      <c r="S129" s="1818"/>
      <c r="T129" s="1818"/>
      <c r="U129" s="1818"/>
      <c r="V129" s="1818"/>
      <c r="W129" s="1818"/>
      <c r="X129" s="1818"/>
      <c r="Y129" s="1818"/>
      <c r="Z129" s="1818"/>
      <c r="AA129" s="1818"/>
      <c r="AB129" s="1818"/>
      <c r="AC129" s="1818"/>
      <c r="AD129" s="1818"/>
      <c r="AF129" s="5"/>
      <c r="AN129" s="281"/>
    </row>
    <row r="130" spans="1:42" s="4" customFormat="1" ht="12.75" customHeight="1">
      <c r="B130" s="5"/>
      <c r="C130" s="45"/>
      <c r="D130" s="26"/>
      <c r="E130" s="1818"/>
      <c r="F130" s="1818"/>
      <c r="G130" s="1818"/>
      <c r="H130" s="1818"/>
      <c r="I130" s="1818"/>
      <c r="J130" s="1818"/>
      <c r="K130" s="1818"/>
      <c r="L130" s="1818"/>
      <c r="M130" s="1818"/>
      <c r="N130" s="1818"/>
      <c r="O130" s="1818"/>
      <c r="P130" s="1818"/>
      <c r="Q130" s="1818"/>
      <c r="R130" s="1818"/>
      <c r="S130" s="1818"/>
      <c r="T130" s="1818"/>
      <c r="U130" s="1818"/>
      <c r="V130" s="1818"/>
      <c r="W130" s="1818"/>
      <c r="X130" s="1818"/>
      <c r="Y130" s="1818"/>
      <c r="Z130" s="1818"/>
      <c r="AA130" s="1818"/>
      <c r="AB130" s="1818"/>
      <c r="AC130" s="1818"/>
      <c r="AD130" s="1818"/>
      <c r="AF130" s="5"/>
      <c r="AN130" s="281"/>
    </row>
    <row r="131" spans="1:42" s="4" customFormat="1" ht="12.75" customHeight="1">
      <c r="A131" s="35"/>
      <c r="B131" s="102"/>
      <c r="C131" s="121"/>
      <c r="D131" s="26"/>
      <c r="E131" s="1818"/>
      <c r="F131" s="1818"/>
      <c r="G131" s="1818"/>
      <c r="H131" s="1818"/>
      <c r="I131" s="1818"/>
      <c r="J131" s="1818"/>
      <c r="K131" s="1818"/>
      <c r="L131" s="1818"/>
      <c r="M131" s="1818"/>
      <c r="N131" s="1818"/>
      <c r="O131" s="1818"/>
      <c r="P131" s="1818"/>
      <c r="Q131" s="1818"/>
      <c r="R131" s="1818"/>
      <c r="S131" s="1818"/>
      <c r="T131" s="1818"/>
      <c r="U131" s="1818"/>
      <c r="V131" s="1818"/>
      <c r="W131" s="1818"/>
      <c r="X131" s="1818"/>
      <c r="Y131" s="1818"/>
      <c r="Z131" s="1818"/>
      <c r="AA131" s="1818"/>
      <c r="AB131" s="1818"/>
      <c r="AC131" s="1818"/>
      <c r="AD131" s="1818"/>
      <c r="AE131" s="19"/>
      <c r="AF131" s="102"/>
      <c r="AG131" s="19"/>
      <c r="AH131" s="19"/>
      <c r="AI131" s="19"/>
      <c r="AJ131" s="19"/>
      <c r="AN131" s="281"/>
    </row>
    <row r="132" spans="1:42" s="4" customFormat="1" ht="22.9" customHeight="1">
      <c r="B132" s="102"/>
      <c r="C132" s="121"/>
      <c r="D132" s="26"/>
      <c r="E132" s="1818"/>
      <c r="F132" s="1818"/>
      <c r="G132" s="1818"/>
      <c r="H132" s="1818"/>
      <c r="I132" s="1818"/>
      <c r="J132" s="1818"/>
      <c r="K132" s="1818"/>
      <c r="L132" s="1818"/>
      <c r="M132" s="1818"/>
      <c r="N132" s="1818"/>
      <c r="O132" s="1818"/>
      <c r="P132" s="1818"/>
      <c r="Q132" s="1818"/>
      <c r="R132" s="1818"/>
      <c r="S132" s="1818"/>
      <c r="T132" s="1818"/>
      <c r="U132" s="1818"/>
      <c r="V132" s="1818"/>
      <c r="W132" s="1818"/>
      <c r="X132" s="1818"/>
      <c r="Y132" s="1818"/>
      <c r="Z132" s="1818"/>
      <c r="AA132" s="1818"/>
      <c r="AB132" s="1818"/>
      <c r="AC132" s="1818"/>
      <c r="AD132" s="1818"/>
      <c r="AE132" s="19"/>
      <c r="AF132" s="102"/>
      <c r="AG132" s="19"/>
      <c r="AH132" s="19"/>
      <c r="AI132" s="19"/>
      <c r="AJ132" s="19"/>
      <c r="AN132" s="281"/>
      <c r="AO132" s="4" t="s">
        <v>132</v>
      </c>
      <c r="AP132" s="484">
        <v>0</v>
      </c>
    </row>
    <row r="133" spans="1:42" s="4" customFormat="1" ht="12.75" customHeight="1">
      <c r="B133" s="102"/>
      <c r="C133" s="45"/>
      <c r="D133" s="26"/>
      <c r="E133" s="19" t="s">
        <v>110</v>
      </c>
      <c r="F133" s="696"/>
      <c r="G133" s="696"/>
      <c r="H133" s="696"/>
      <c r="I133" s="696"/>
      <c r="J133" s="696"/>
      <c r="K133" s="696"/>
      <c r="L133" s="696"/>
      <c r="M133" s="696"/>
      <c r="N133" s="696"/>
      <c r="O133" s="696"/>
      <c r="P133" s="696"/>
      <c r="Q133" s="696"/>
      <c r="R133" s="696"/>
      <c r="S133" s="1814" t="s">
        <v>132</v>
      </c>
      <c r="T133" s="1814"/>
      <c r="U133" s="696"/>
      <c r="V133" s="696"/>
      <c r="W133" s="696"/>
      <c r="X133" s="696"/>
      <c r="Y133" s="696"/>
      <c r="Z133" s="696"/>
      <c r="AA133" s="696"/>
      <c r="AB133" s="696"/>
      <c r="AC133" s="696"/>
      <c r="AD133" s="696"/>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111</v>
      </c>
      <c r="AG135" s="1712"/>
      <c r="AH135" s="1712"/>
      <c r="AI135" s="1712"/>
      <c r="AJ135" s="1712"/>
      <c r="AK135" s="1712"/>
      <c r="AL135" s="1712"/>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17" t="s">
        <v>208</v>
      </c>
      <c r="I137" s="1817"/>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9"/>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5">
        <f>VLOOKUP($H$137,$AO$111:$AP$113,2,FALSE)</f>
        <v>2</v>
      </c>
      <c r="AK139" s="1257"/>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65</v>
      </c>
      <c r="AG143" s="1712"/>
      <c r="AH143" s="1712"/>
      <c r="AI143" s="1712"/>
      <c r="AJ143" s="1712"/>
      <c r="AK143" s="1712"/>
      <c r="AL143" s="1712"/>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111</v>
      </c>
      <c r="AG146" s="1712"/>
      <c r="AH146" s="1712"/>
      <c r="AI146" s="1712"/>
      <c r="AJ146" s="1712"/>
      <c r="AK146" s="1712"/>
      <c r="AL146" s="1712"/>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7" t="s">
        <v>208</v>
      </c>
      <c r="I149" s="181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5">
        <f>VLOOKUP(H149,AT111:AU113,2,FALSE)</f>
        <v>2</v>
      </c>
      <c r="AK151" s="1257"/>
      <c r="AL151" s="10"/>
      <c r="AN151" s="281"/>
      <c r="AO151" s="4" t="s">
        <v>132</v>
      </c>
      <c r="AP151" s="484">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51" t="s">
        <v>781</v>
      </c>
      <c r="F156" s="1651"/>
      <c r="G156" s="1651"/>
      <c r="H156" s="1651"/>
      <c r="I156" s="1651"/>
      <c r="J156" s="1651"/>
      <c r="K156" s="1651"/>
      <c r="L156" s="1651"/>
      <c r="M156" s="1651"/>
      <c r="N156" s="1651"/>
      <c r="O156" s="1651"/>
      <c r="P156" s="1651"/>
      <c r="Q156" s="1651"/>
      <c r="R156" s="1651"/>
      <c r="S156" s="1651"/>
      <c r="T156" s="1651"/>
      <c r="U156" s="1651"/>
      <c r="V156" s="1651"/>
      <c r="W156" s="1651"/>
      <c r="X156" s="1651"/>
      <c r="Y156" s="1651"/>
      <c r="Z156" s="1651"/>
      <c r="AA156" s="1651"/>
      <c r="AB156" s="1651"/>
      <c r="AC156" s="1651"/>
      <c r="AF156" s="1712" t="s">
        <v>63</v>
      </c>
      <c r="AG156" s="1712"/>
      <c r="AH156" s="1712"/>
      <c r="AI156" s="1712"/>
      <c r="AJ156" s="1712"/>
      <c r="AK156" s="1712"/>
      <c r="AL156" s="1712"/>
      <c r="AN156" s="281"/>
    </row>
    <row r="157" spans="1:42" s="4" customFormat="1" ht="12.75" customHeight="1">
      <c r="C157" s="3"/>
      <c r="E157" s="1651"/>
      <c r="F157" s="1651"/>
      <c r="G157" s="1651"/>
      <c r="H157" s="1651"/>
      <c r="I157" s="1651"/>
      <c r="J157" s="1651"/>
      <c r="K157" s="1651"/>
      <c r="L157" s="1651"/>
      <c r="M157" s="1651"/>
      <c r="N157" s="1651"/>
      <c r="O157" s="1651"/>
      <c r="P157" s="1651"/>
      <c r="Q157" s="1651"/>
      <c r="R157" s="1651"/>
      <c r="S157" s="1651"/>
      <c r="T157" s="1651"/>
      <c r="U157" s="1651"/>
      <c r="V157" s="1651"/>
      <c r="W157" s="1651"/>
      <c r="X157" s="1651"/>
      <c r="Y157" s="1651"/>
      <c r="Z157" s="1651"/>
      <c r="AA157" s="1651"/>
      <c r="AB157" s="1651"/>
      <c r="AC157" s="1651"/>
      <c r="AN157" s="281"/>
    </row>
    <row r="158" spans="1:42" s="4" customFormat="1" ht="12.75" customHeight="1">
      <c r="C158" s="3"/>
      <c r="D158" s="26"/>
      <c r="E158" s="1651"/>
      <c r="F158" s="1651"/>
      <c r="G158" s="1651"/>
      <c r="H158" s="1651"/>
      <c r="I158" s="1651"/>
      <c r="J158" s="1651"/>
      <c r="K158" s="1651"/>
      <c r="L158" s="1651"/>
      <c r="M158" s="1651"/>
      <c r="N158" s="1651"/>
      <c r="O158" s="1651"/>
      <c r="P158" s="1651"/>
      <c r="Q158" s="1651"/>
      <c r="R158" s="1651"/>
      <c r="S158" s="1651"/>
      <c r="T158" s="1651"/>
      <c r="U158" s="1651"/>
      <c r="V158" s="1651"/>
      <c r="W158" s="1651"/>
      <c r="X158" s="1651"/>
      <c r="Y158" s="1651"/>
      <c r="Z158" s="1651"/>
      <c r="AA158" s="1651"/>
      <c r="AB158" s="1651"/>
      <c r="AC158" s="1651"/>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1" t="s">
        <v>1789</v>
      </c>
      <c r="F160" s="1651"/>
      <c r="G160" s="1651"/>
      <c r="H160" s="1651"/>
      <c r="I160" s="1651"/>
      <c r="J160" s="1651"/>
      <c r="K160" s="1651"/>
      <c r="L160" s="1651"/>
      <c r="M160" s="1651"/>
      <c r="N160" s="1651"/>
      <c r="O160" s="1651"/>
      <c r="P160" s="1651"/>
      <c r="Q160" s="1651"/>
      <c r="R160" s="1651"/>
      <c r="S160" s="1651"/>
      <c r="T160" s="1651"/>
      <c r="U160" s="1651"/>
      <c r="V160" s="1651"/>
      <c r="W160" s="1651"/>
      <c r="X160" s="1651"/>
      <c r="Y160" s="1651"/>
      <c r="Z160" s="1651"/>
      <c r="AA160" s="1651"/>
      <c r="AB160" s="1651"/>
      <c r="AC160" s="1651"/>
      <c r="AF160" s="1712" t="s">
        <v>64</v>
      </c>
      <c r="AG160" s="1712"/>
      <c r="AH160" s="1712"/>
      <c r="AI160" s="1712"/>
      <c r="AJ160" s="1712"/>
      <c r="AK160" s="1712"/>
      <c r="AL160" s="1712"/>
      <c r="AN160" s="281"/>
    </row>
    <row r="161" spans="1:42" s="4" customFormat="1" ht="12.75" customHeight="1">
      <c r="C161" s="3"/>
      <c r="E161" s="1651"/>
      <c r="F161" s="1651"/>
      <c r="G161" s="1651"/>
      <c r="H161" s="1651"/>
      <c r="I161" s="1651"/>
      <c r="J161" s="1651"/>
      <c r="K161" s="1651"/>
      <c r="L161" s="1651"/>
      <c r="M161" s="1651"/>
      <c r="N161" s="1651"/>
      <c r="O161" s="1651"/>
      <c r="P161" s="1651"/>
      <c r="Q161" s="1651"/>
      <c r="R161" s="1651"/>
      <c r="S161" s="1651"/>
      <c r="T161" s="1651"/>
      <c r="U161" s="1651"/>
      <c r="V161" s="1651"/>
      <c r="W161" s="1651"/>
      <c r="X161" s="1651"/>
      <c r="Y161" s="1651"/>
      <c r="Z161" s="1651"/>
      <c r="AA161" s="1651"/>
      <c r="AB161" s="1651"/>
      <c r="AC161" s="1651"/>
      <c r="AN161" s="281"/>
    </row>
    <row r="162" spans="1:42" s="4" customFormat="1" ht="15" customHeight="1">
      <c r="C162" s="3"/>
      <c r="D162" s="26"/>
      <c r="E162" s="1651"/>
      <c r="F162" s="1651"/>
      <c r="G162" s="1651"/>
      <c r="H162" s="1651"/>
      <c r="I162" s="1651"/>
      <c r="J162" s="1651"/>
      <c r="K162" s="1651"/>
      <c r="L162" s="1651"/>
      <c r="M162" s="1651"/>
      <c r="N162" s="1651"/>
      <c r="O162" s="1651"/>
      <c r="P162" s="1651"/>
      <c r="Q162" s="1651"/>
      <c r="R162" s="1651"/>
      <c r="S162" s="1651"/>
      <c r="T162" s="1651"/>
      <c r="U162" s="1651"/>
      <c r="V162" s="1651"/>
      <c r="W162" s="1651"/>
      <c r="X162" s="1651"/>
      <c r="Y162" s="1651"/>
      <c r="Z162" s="1651"/>
      <c r="AA162" s="1651"/>
      <c r="AB162" s="1651"/>
      <c r="AC162" s="1651"/>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51" t="s">
        <v>1790</v>
      </c>
      <c r="F164" s="1651"/>
      <c r="G164" s="1651"/>
      <c r="H164" s="1651"/>
      <c r="I164" s="1651"/>
      <c r="J164" s="1651"/>
      <c r="K164" s="1651"/>
      <c r="L164" s="1651"/>
      <c r="M164" s="1651"/>
      <c r="N164" s="1651"/>
      <c r="O164" s="1651"/>
      <c r="P164" s="1651"/>
      <c r="Q164" s="1651"/>
      <c r="R164" s="1651"/>
      <c r="S164" s="1651"/>
      <c r="T164" s="1651"/>
      <c r="U164" s="1651"/>
      <c r="V164" s="1651"/>
      <c r="W164" s="1651"/>
      <c r="X164" s="1651"/>
      <c r="Y164" s="1651"/>
      <c r="Z164" s="1651"/>
      <c r="AA164" s="1651"/>
      <c r="AB164" s="1651"/>
      <c r="AC164" s="1651"/>
      <c r="AF164" s="1712" t="s">
        <v>65</v>
      </c>
      <c r="AG164" s="1712"/>
      <c r="AH164" s="1712"/>
      <c r="AI164" s="1712"/>
      <c r="AJ164" s="1712"/>
      <c r="AK164" s="1712"/>
      <c r="AL164" s="1712"/>
      <c r="AN164" s="281"/>
    </row>
    <row r="165" spans="1:42" s="4" customFormat="1" ht="12.75" customHeight="1">
      <c r="B165" s="5"/>
      <c r="C165" s="45"/>
      <c r="E165" s="1651"/>
      <c r="F165" s="1651"/>
      <c r="G165" s="1651"/>
      <c r="H165" s="1651"/>
      <c r="I165" s="1651"/>
      <c r="J165" s="1651"/>
      <c r="K165" s="1651"/>
      <c r="L165" s="1651"/>
      <c r="M165" s="1651"/>
      <c r="N165" s="1651"/>
      <c r="O165" s="1651"/>
      <c r="P165" s="1651"/>
      <c r="Q165" s="1651"/>
      <c r="R165" s="1651"/>
      <c r="S165" s="1651"/>
      <c r="T165" s="1651"/>
      <c r="U165" s="1651"/>
      <c r="V165" s="1651"/>
      <c r="W165" s="1651"/>
      <c r="X165" s="1651"/>
      <c r="Y165" s="1651"/>
      <c r="Z165" s="1651"/>
      <c r="AA165" s="1651"/>
      <c r="AB165" s="1651"/>
      <c r="AC165" s="1651"/>
      <c r="AE165" s="1712"/>
      <c r="AF165" s="1712"/>
      <c r="AG165" s="1712"/>
      <c r="AH165" s="1712"/>
      <c r="AI165" s="1712"/>
      <c r="AJ165" s="1712"/>
      <c r="AK165" s="1712"/>
      <c r="AL165" s="108"/>
      <c r="AN165" s="281"/>
      <c r="AO165" s="4" t="s">
        <v>132</v>
      </c>
      <c r="AP165" s="484">
        <v>0</v>
      </c>
    </row>
    <row r="166" spans="1:42" s="4" customFormat="1" ht="12.75" customHeight="1">
      <c r="A166" s="120"/>
      <c r="D166" s="26"/>
      <c r="E166" s="1651"/>
      <c r="F166" s="1651"/>
      <c r="G166" s="1651"/>
      <c r="H166" s="1651"/>
      <c r="I166" s="1651"/>
      <c r="J166" s="1651"/>
      <c r="K166" s="1651"/>
      <c r="L166" s="1651"/>
      <c r="M166" s="1651"/>
      <c r="N166" s="1651"/>
      <c r="O166" s="1651"/>
      <c r="P166" s="1651"/>
      <c r="Q166" s="1651"/>
      <c r="R166" s="1651"/>
      <c r="S166" s="1651"/>
      <c r="T166" s="1651"/>
      <c r="U166" s="1651"/>
      <c r="V166" s="1651"/>
      <c r="W166" s="1651"/>
      <c r="X166" s="1651"/>
      <c r="Y166" s="1651"/>
      <c r="Z166" s="1651"/>
      <c r="AA166" s="1651"/>
      <c r="AB166" s="1651"/>
      <c r="AC166" s="1651"/>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51" t="s">
        <v>1791</v>
      </c>
      <c r="F168" s="1651"/>
      <c r="G168" s="1651"/>
      <c r="H168" s="1651"/>
      <c r="I168" s="1651"/>
      <c r="J168" s="1651"/>
      <c r="K168" s="1651"/>
      <c r="L168" s="1651"/>
      <c r="M168" s="1651"/>
      <c r="N168" s="1651"/>
      <c r="O168" s="1651"/>
      <c r="P168" s="1651"/>
      <c r="Q168" s="1651"/>
      <c r="R168" s="1651"/>
      <c r="S168" s="1651"/>
      <c r="T168" s="1651"/>
      <c r="U168" s="1651"/>
      <c r="V168" s="1651"/>
      <c r="W168" s="1651"/>
      <c r="X168" s="1651"/>
      <c r="Y168" s="1651"/>
      <c r="Z168" s="1651"/>
      <c r="AA168" s="1651"/>
      <c r="AB168" s="1651"/>
      <c r="AC168" s="1651"/>
      <c r="AF168" s="1712" t="s">
        <v>64</v>
      </c>
      <c r="AG168" s="1712"/>
      <c r="AH168" s="1712"/>
      <c r="AI168" s="1712"/>
      <c r="AJ168" s="1712"/>
      <c r="AK168" s="1712"/>
      <c r="AL168" s="1712"/>
      <c r="AN168" s="281"/>
    </row>
    <row r="169" spans="1:42" s="4" customFormat="1" ht="12.75" customHeight="1">
      <c r="A169" s="111"/>
      <c r="B169" s="5"/>
      <c r="C169" s="126"/>
      <c r="D169" s="26"/>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E169" s="108"/>
      <c r="AF169" s="108"/>
      <c r="AG169" s="108"/>
      <c r="AH169" s="108"/>
      <c r="AI169" s="108"/>
      <c r="AJ169" s="108"/>
      <c r="AK169" s="108"/>
      <c r="AL169" s="108"/>
      <c r="AM169" s="20"/>
      <c r="AN169" s="281"/>
    </row>
    <row r="170" spans="1:42" s="4" customFormat="1" ht="12.75" customHeight="1">
      <c r="A170" s="111"/>
      <c r="B170" s="5"/>
      <c r="C170" s="126"/>
      <c r="D170" s="26"/>
      <c r="E170" s="1651"/>
      <c r="F170" s="1651"/>
      <c r="G170" s="1651"/>
      <c r="H170" s="1651"/>
      <c r="I170" s="1651"/>
      <c r="J170" s="1651"/>
      <c r="K170" s="1651"/>
      <c r="L170" s="1651"/>
      <c r="M170" s="1651"/>
      <c r="N170" s="1651"/>
      <c r="O170" s="1651"/>
      <c r="P170" s="1651"/>
      <c r="Q170" s="1651"/>
      <c r="R170" s="1651"/>
      <c r="S170" s="1651"/>
      <c r="T170" s="1651"/>
      <c r="U170" s="1651"/>
      <c r="V170" s="1651"/>
      <c r="W170" s="1651"/>
      <c r="X170" s="1651"/>
      <c r="Y170" s="1651"/>
      <c r="Z170" s="1651"/>
      <c r="AA170" s="1651"/>
      <c r="AB170" s="1651"/>
      <c r="AC170" s="1651"/>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51" t="s">
        <v>1792</v>
      </c>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1"/>
      <c r="AB172" s="1651"/>
      <c r="AC172" s="1651"/>
      <c r="AF172" s="1712" t="s">
        <v>65</v>
      </c>
      <c r="AG172" s="1712"/>
      <c r="AH172" s="1712"/>
      <c r="AI172" s="1712"/>
      <c r="AJ172" s="1712"/>
      <c r="AK172" s="1712"/>
      <c r="AL172" s="1712"/>
      <c r="AM172" s="20"/>
      <c r="AN172" s="281"/>
    </row>
    <row r="173" spans="1:42" s="4" customFormat="1" ht="12.75" customHeight="1">
      <c r="B173" s="5"/>
      <c r="C173" s="45"/>
      <c r="D173" s="26"/>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1"/>
      <c r="AB173" s="1651"/>
      <c r="AC173" s="1651"/>
      <c r="AF173" s="5"/>
      <c r="AM173" s="20"/>
      <c r="AN173" s="281"/>
    </row>
    <row r="174" spans="1:42" s="4" customFormat="1" ht="12.75" customHeight="1">
      <c r="B174" s="5"/>
      <c r="C174" s="45"/>
      <c r="D174" s="26"/>
      <c r="E174" s="1651"/>
      <c r="F174" s="1651"/>
      <c r="G174" s="1651"/>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1" t="s">
        <v>1541</v>
      </c>
      <c r="F176" s="1651"/>
      <c r="G176" s="1651"/>
      <c r="H176" s="1651"/>
      <c r="I176" s="1651"/>
      <c r="J176" s="1651"/>
      <c r="K176" s="1651"/>
      <c r="L176" s="1651"/>
      <c r="M176" s="1651"/>
      <c r="N176" s="1651"/>
      <c r="O176" s="1651"/>
      <c r="P176" s="1651"/>
      <c r="Q176" s="1651"/>
      <c r="R176" s="1651"/>
      <c r="S176" s="1651"/>
      <c r="T176" s="1651"/>
      <c r="U176" s="1651"/>
      <c r="V176" s="1651"/>
      <c r="W176" s="1651"/>
      <c r="X176" s="1651"/>
      <c r="Y176" s="1651"/>
      <c r="Z176" s="1651"/>
      <c r="AA176" s="1651"/>
      <c r="AB176" s="1651"/>
      <c r="AC176" s="1651"/>
      <c r="AF176" s="1712" t="s">
        <v>111</v>
      </c>
      <c r="AG176" s="1712"/>
      <c r="AH176" s="1712"/>
      <c r="AI176" s="1712"/>
      <c r="AJ176" s="1712"/>
      <c r="AK176" s="1712"/>
      <c r="AL176" s="1712"/>
      <c r="AM176" s="20"/>
      <c r="AN176" s="281"/>
    </row>
    <row r="177" spans="1:42" s="4" customFormat="1" ht="22.9" customHeight="1">
      <c r="A177" s="120"/>
      <c r="B177" s="5"/>
      <c r="C177" s="45"/>
      <c r="D177" s="26"/>
      <c r="E177" s="1651"/>
      <c r="F177" s="1651"/>
      <c r="G177" s="1651"/>
      <c r="H177" s="1651"/>
      <c r="I177" s="1651"/>
      <c r="J177" s="1651"/>
      <c r="K177" s="1651"/>
      <c r="L177" s="1651"/>
      <c r="M177" s="1651"/>
      <c r="N177" s="1651"/>
      <c r="O177" s="1651"/>
      <c r="P177" s="1651"/>
      <c r="Q177" s="1651"/>
      <c r="R177" s="1651"/>
      <c r="S177" s="1651"/>
      <c r="T177" s="1651"/>
      <c r="U177" s="1651"/>
      <c r="V177" s="1651"/>
      <c r="W177" s="1651"/>
      <c r="X177" s="1651"/>
      <c r="Y177" s="1651"/>
      <c r="Z177" s="1651"/>
      <c r="AA177" s="1651"/>
      <c r="AB177" s="1651"/>
      <c r="AC177" s="1651"/>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1" t="s">
        <v>1542</v>
      </c>
      <c r="F179" s="1651"/>
      <c r="G179" s="1651"/>
      <c r="H179" s="1651"/>
      <c r="I179" s="1651"/>
      <c r="J179" s="1651"/>
      <c r="K179" s="1651"/>
      <c r="L179" s="1651"/>
      <c r="M179" s="1651"/>
      <c r="N179" s="1651"/>
      <c r="O179" s="1651"/>
      <c r="P179" s="1651"/>
      <c r="Q179" s="1651"/>
      <c r="R179" s="1651"/>
      <c r="S179" s="1651"/>
      <c r="T179" s="1651"/>
      <c r="U179" s="1651"/>
      <c r="V179" s="1651"/>
      <c r="W179" s="1651"/>
      <c r="X179" s="1651"/>
      <c r="Y179" s="1651"/>
      <c r="Z179" s="1651"/>
      <c r="AA179" s="1651"/>
      <c r="AB179" s="1651"/>
      <c r="AC179" s="1651"/>
      <c r="AF179" s="1712" t="s">
        <v>339</v>
      </c>
      <c r="AG179" s="1712"/>
      <c r="AH179" s="1712"/>
      <c r="AI179" s="1712"/>
      <c r="AJ179" s="1712"/>
      <c r="AK179" s="1712"/>
      <c r="AL179" s="1712"/>
      <c r="AM179" s="20"/>
      <c r="AN179" s="281"/>
      <c r="AO179" s="26" t="s">
        <v>611</v>
      </c>
      <c r="AP179" s="4">
        <v>3</v>
      </c>
    </row>
    <row r="180" spans="1:42" s="4" customFormat="1" ht="22.9" customHeight="1">
      <c r="A180" s="120"/>
      <c r="B180" s="5"/>
      <c r="C180" s="45"/>
      <c r="D180" s="26"/>
      <c r="E180" s="1651"/>
      <c r="F180" s="1651"/>
      <c r="G180" s="1651"/>
      <c r="H180" s="1651"/>
      <c r="I180" s="1651"/>
      <c r="J180" s="1651"/>
      <c r="K180" s="1651"/>
      <c r="L180" s="1651"/>
      <c r="M180" s="1651"/>
      <c r="N180" s="1651"/>
      <c r="O180" s="1651"/>
      <c r="P180" s="1651"/>
      <c r="Q180" s="1651"/>
      <c r="R180" s="1651"/>
      <c r="S180" s="1651"/>
      <c r="T180" s="1651"/>
      <c r="U180" s="1651"/>
      <c r="V180" s="1651"/>
      <c r="W180" s="1651"/>
      <c r="X180" s="1651"/>
      <c r="Y180" s="1651"/>
      <c r="Z180" s="1651"/>
      <c r="AA180" s="1651"/>
      <c r="AB180" s="1651"/>
      <c r="AC180" s="1651"/>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7" t="s">
        <v>208</v>
      </c>
      <c r="I182" s="181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5">
        <f>VLOOKUP($H$182,$AO$132:$AP$139,2,FALSE)</f>
        <v>4</v>
      </c>
      <c r="AK184" s="125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51" t="s">
        <v>2343</v>
      </c>
      <c r="F188" s="1651"/>
      <c r="G188" s="1651"/>
      <c r="H188" s="1651"/>
      <c r="I188" s="1651"/>
      <c r="J188" s="1651"/>
      <c r="K188" s="1651"/>
      <c r="L188" s="1651"/>
      <c r="M188" s="1651"/>
      <c r="N188" s="1651"/>
      <c r="O188" s="1651"/>
      <c r="P188" s="1651"/>
      <c r="Q188" s="1651"/>
      <c r="R188" s="1651"/>
      <c r="S188" s="1651"/>
      <c r="T188" s="1651"/>
      <c r="U188" s="1651"/>
      <c r="V188" s="1651"/>
      <c r="W188" s="1651"/>
      <c r="X188" s="1651"/>
      <c r="Y188" s="1651"/>
      <c r="Z188" s="1651"/>
      <c r="AA188" s="1651"/>
      <c r="AB188" s="1651"/>
      <c r="AF188" s="1712" t="s">
        <v>65</v>
      </c>
      <c r="AG188" s="1712"/>
      <c r="AH188" s="1712"/>
      <c r="AI188" s="1712"/>
      <c r="AJ188" s="1712"/>
      <c r="AK188" s="1712"/>
      <c r="AL188" s="1712"/>
      <c r="AN188" s="281"/>
    </row>
    <row r="189" spans="1:42" s="4" customFormat="1" ht="12.75" customHeight="1">
      <c r="B189" s="5"/>
      <c r="C189" s="121"/>
      <c r="D189" s="26"/>
      <c r="E189" s="1651"/>
      <c r="F189" s="1651"/>
      <c r="G189" s="1651"/>
      <c r="H189" s="1651"/>
      <c r="I189" s="1651"/>
      <c r="J189" s="1651"/>
      <c r="K189" s="1651"/>
      <c r="L189" s="1651"/>
      <c r="M189" s="1651"/>
      <c r="N189" s="1651"/>
      <c r="O189" s="1651"/>
      <c r="P189" s="1651"/>
      <c r="Q189" s="1651"/>
      <c r="R189" s="1651"/>
      <c r="S189" s="1651"/>
      <c r="T189" s="1651"/>
      <c r="U189" s="1651"/>
      <c r="V189" s="1651"/>
      <c r="W189" s="1651"/>
      <c r="X189" s="1651"/>
      <c r="Y189" s="1651"/>
      <c r="Z189" s="1651"/>
      <c r="AA189" s="1651"/>
      <c r="AB189" s="1651"/>
      <c r="AE189" s="19"/>
      <c r="AN189" s="281"/>
      <c r="AO189" s="1406"/>
      <c r="AP189" s="1406"/>
    </row>
    <row r="190" spans="1:42" s="4" customFormat="1" ht="12.75" customHeight="1">
      <c r="B190" s="5"/>
      <c r="C190" s="121"/>
      <c r="D190" s="26"/>
      <c r="E190" s="1651"/>
      <c r="F190" s="1651"/>
      <c r="G190" s="1651"/>
      <c r="H190" s="1651"/>
      <c r="I190" s="1651"/>
      <c r="J190" s="1651"/>
      <c r="K190" s="1651"/>
      <c r="L190" s="1651"/>
      <c r="M190" s="1651"/>
      <c r="N190" s="1651"/>
      <c r="O190" s="1651"/>
      <c r="P190" s="1651"/>
      <c r="Q190" s="1651"/>
      <c r="R190" s="1651"/>
      <c r="S190" s="1651"/>
      <c r="T190" s="1651"/>
      <c r="U190" s="1651"/>
      <c r="V190" s="1651"/>
      <c r="W190" s="1651"/>
      <c r="X190" s="1651"/>
      <c r="Y190" s="1651"/>
      <c r="Z190" s="1651"/>
      <c r="AA190" s="1651"/>
      <c r="AB190" s="1651"/>
      <c r="AE190" s="19"/>
      <c r="AF190" s="102"/>
      <c r="AG190" s="19"/>
      <c r="AH190" s="19"/>
      <c r="AI190" s="19"/>
      <c r="AJ190" s="19"/>
      <c r="AK190" s="19"/>
      <c r="AL190" s="19"/>
      <c r="AN190" s="281"/>
    </row>
    <row r="191" spans="1:42" s="4" customFormat="1" ht="11.25" customHeight="1">
      <c r="B191" s="5"/>
      <c r="C191" s="121"/>
      <c r="D191" s="26"/>
      <c r="E191" s="1651"/>
      <c r="F191" s="1651"/>
      <c r="G191" s="1651"/>
      <c r="H191" s="1651"/>
      <c r="I191" s="1651"/>
      <c r="J191" s="1651"/>
      <c r="K191" s="1651"/>
      <c r="L191" s="1651"/>
      <c r="M191" s="1651"/>
      <c r="N191" s="1651"/>
      <c r="O191" s="1651"/>
      <c r="P191" s="1651"/>
      <c r="Q191" s="1651"/>
      <c r="R191" s="1651"/>
      <c r="S191" s="1651"/>
      <c r="T191" s="1651"/>
      <c r="U191" s="1651"/>
      <c r="V191" s="1651"/>
      <c r="W191" s="1651"/>
      <c r="X191" s="1651"/>
      <c r="Y191" s="1651"/>
      <c r="Z191" s="1651"/>
      <c r="AA191" s="1651"/>
      <c r="AB191" s="1651"/>
      <c r="AE191" s="19"/>
      <c r="AF191" s="102"/>
      <c r="AG191" s="19"/>
      <c r="AH191" s="19"/>
      <c r="AI191" s="19"/>
      <c r="AJ191" s="19"/>
      <c r="AK191" s="19"/>
      <c r="AL191" s="19"/>
      <c r="AN191" s="281"/>
      <c r="AO191" s="4" t="s">
        <v>132</v>
      </c>
      <c r="AP191" s="484">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51" t="s">
        <v>2344</v>
      </c>
      <c r="F193" s="1651"/>
      <c r="G193" s="1651"/>
      <c r="H193" s="1651"/>
      <c r="I193" s="1651"/>
      <c r="J193" s="1651"/>
      <c r="K193" s="1651"/>
      <c r="L193" s="1651"/>
      <c r="M193" s="1651"/>
      <c r="N193" s="1651"/>
      <c r="O193" s="1651"/>
      <c r="P193" s="1651"/>
      <c r="Q193" s="1651"/>
      <c r="R193" s="1651"/>
      <c r="S193" s="1651"/>
      <c r="T193" s="1651"/>
      <c r="U193" s="1651"/>
      <c r="V193" s="1651"/>
      <c r="W193" s="1651"/>
      <c r="X193" s="1651"/>
      <c r="Y193" s="1651"/>
      <c r="Z193" s="1651"/>
      <c r="AA193" s="1651"/>
      <c r="AB193" s="1651"/>
      <c r="AF193" s="1712" t="s">
        <v>111</v>
      </c>
      <c r="AG193" s="1712"/>
      <c r="AH193" s="1712"/>
      <c r="AI193" s="1712"/>
      <c r="AJ193" s="1712"/>
      <c r="AK193" s="1712"/>
      <c r="AL193" s="1712"/>
      <c r="AN193" s="281"/>
      <c r="AO193" s="26" t="s">
        <v>208</v>
      </c>
      <c r="AP193" s="4">
        <v>1</v>
      </c>
    </row>
    <row r="194" spans="1:42" s="4" customFormat="1" ht="12.75" customHeight="1">
      <c r="B194" s="5"/>
      <c r="C194" s="4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D194" s="5"/>
      <c r="AE194" s="19"/>
      <c r="AN194" s="281"/>
    </row>
    <row r="195" spans="1:42" s="4" customFormat="1" ht="12.75" customHeight="1">
      <c r="B195" s="5"/>
      <c r="C195" s="45"/>
      <c r="E195" s="1651"/>
      <c r="F195" s="1651"/>
      <c r="G195" s="1651"/>
      <c r="H195" s="1651"/>
      <c r="I195" s="1651"/>
      <c r="J195" s="1651"/>
      <c r="K195" s="1651"/>
      <c r="L195" s="1651"/>
      <c r="M195" s="1651"/>
      <c r="N195" s="1651"/>
      <c r="O195" s="1651"/>
      <c r="P195" s="1651"/>
      <c r="Q195" s="1651"/>
      <c r="R195" s="1651"/>
      <c r="S195" s="1651"/>
      <c r="T195" s="1651"/>
      <c r="U195" s="1651"/>
      <c r="V195" s="1651"/>
      <c r="W195" s="1651"/>
      <c r="X195" s="1651"/>
      <c r="Y195" s="1651"/>
      <c r="Z195" s="1651"/>
      <c r="AA195" s="1651"/>
      <c r="AB195" s="1651"/>
      <c r="AD195" s="5"/>
      <c r="AE195" s="19"/>
      <c r="AN195" s="281"/>
    </row>
    <row r="196" spans="1:42" customFormat="1" ht="12.75" customHeight="1">
      <c r="A196" s="4"/>
      <c r="B196" s="5"/>
      <c r="C196" s="45"/>
      <c r="D196" s="4"/>
      <c r="E196" s="1651"/>
      <c r="F196" s="1651"/>
      <c r="G196" s="1651"/>
      <c r="H196" s="1651"/>
      <c r="I196" s="1651"/>
      <c r="J196" s="1651"/>
      <c r="K196" s="1651"/>
      <c r="L196" s="1651"/>
      <c r="M196" s="1651"/>
      <c r="N196" s="1651"/>
      <c r="O196" s="1651"/>
      <c r="P196" s="1651"/>
      <c r="Q196" s="1651"/>
      <c r="R196" s="1651"/>
      <c r="S196" s="1651"/>
      <c r="T196" s="1651"/>
      <c r="U196" s="1651"/>
      <c r="V196" s="1651"/>
      <c r="W196" s="1651"/>
      <c r="X196" s="1651"/>
      <c r="Y196" s="1651"/>
      <c r="Z196" s="1651"/>
      <c r="AA196" s="1651"/>
      <c r="AB196" s="1651"/>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4" t="s">
        <v>2049</v>
      </c>
      <c r="F198" s="1714"/>
      <c r="G198" s="1714"/>
      <c r="H198" s="1714"/>
      <c r="I198" s="1714"/>
      <c r="J198" s="1714"/>
      <c r="K198" s="1714"/>
      <c r="L198" s="1714"/>
      <c r="M198" s="1714"/>
      <c r="N198" s="1714"/>
      <c r="O198" s="1714"/>
      <c r="P198" s="1714"/>
      <c r="Q198" s="1714"/>
      <c r="R198" s="1714"/>
      <c r="S198" s="1714"/>
      <c r="T198" s="1714"/>
      <c r="U198" s="1714"/>
      <c r="V198" s="1714"/>
      <c r="W198" s="1714"/>
      <c r="X198" s="1714"/>
      <c r="Y198" s="1714"/>
      <c r="Z198" s="1714"/>
      <c r="AA198" s="1714"/>
      <c r="AB198" s="1714"/>
      <c r="AC198" s="4"/>
      <c r="AD198" s="5"/>
      <c r="AE198" s="19"/>
      <c r="AF198" s="19"/>
      <c r="AG198" s="19"/>
      <c r="AH198" s="19"/>
      <c r="AI198" s="19"/>
      <c r="AJ198" s="4"/>
      <c r="AK198" s="4"/>
      <c r="AL198" s="4"/>
      <c r="AM198" s="4"/>
      <c r="AN198" s="204"/>
    </row>
    <row r="199" spans="1:42" customFormat="1" ht="12.75" customHeight="1">
      <c r="A199" s="4"/>
      <c r="B199" s="5"/>
      <c r="C199" s="45"/>
      <c r="D199" s="4"/>
      <c r="E199" s="1714"/>
      <c r="F199" s="1714"/>
      <c r="G199" s="1714"/>
      <c r="H199" s="1714"/>
      <c r="I199" s="1714"/>
      <c r="J199" s="1714"/>
      <c r="K199" s="1714"/>
      <c r="L199" s="1714"/>
      <c r="M199" s="1714"/>
      <c r="N199" s="1714"/>
      <c r="O199" s="1714"/>
      <c r="P199" s="1714"/>
      <c r="Q199" s="1714"/>
      <c r="R199" s="1714"/>
      <c r="S199" s="1714"/>
      <c r="T199" s="1714"/>
      <c r="U199" s="1714"/>
      <c r="V199" s="1714"/>
      <c r="W199" s="1714"/>
      <c r="X199" s="1714"/>
      <c r="Y199" s="1714"/>
      <c r="Z199" s="1714"/>
      <c r="AA199" s="1714"/>
      <c r="AB199" s="1714"/>
      <c r="AC199" s="4"/>
      <c r="AD199" s="5"/>
      <c r="AE199" s="19"/>
      <c r="AF199" s="19"/>
      <c r="AG199" s="19"/>
      <c r="AH199" s="19"/>
      <c r="AI199" s="19"/>
      <c r="AJ199" s="4"/>
      <c r="AK199" s="4"/>
      <c r="AL199" s="4"/>
      <c r="AM199" s="4"/>
      <c r="AN199" s="204"/>
    </row>
    <row r="200" spans="1:42" customFormat="1" ht="18" customHeight="1">
      <c r="A200" s="4"/>
      <c r="B200" s="5"/>
      <c r="C200" s="45"/>
      <c r="D200" s="4"/>
      <c r="E200" s="1714"/>
      <c r="F200" s="1714"/>
      <c r="G200" s="1714"/>
      <c r="H200" s="1714"/>
      <c r="I200" s="1714"/>
      <c r="J200" s="1714"/>
      <c r="K200" s="1714"/>
      <c r="L200" s="1714"/>
      <c r="M200" s="1714"/>
      <c r="N200" s="1714"/>
      <c r="O200" s="1714"/>
      <c r="P200" s="1714"/>
      <c r="Q200" s="1714"/>
      <c r="R200" s="1714"/>
      <c r="S200" s="1714"/>
      <c r="T200" s="1714"/>
      <c r="U200" s="1714"/>
      <c r="V200" s="1714"/>
      <c r="W200" s="1714"/>
      <c r="X200" s="1714"/>
      <c r="Y200" s="1714"/>
      <c r="Z200" s="1714"/>
      <c r="AA200" s="1714"/>
      <c r="AB200" s="1714"/>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7" t="s">
        <v>611</v>
      </c>
      <c r="I201" s="181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5">
        <f>VLOOKUP($H$201,$AO$151:$AP$153,2,FALSE)</f>
        <v>3</v>
      </c>
      <c r="AK203" s="125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15" t="s">
        <v>1306</v>
      </c>
      <c r="F207" s="1815"/>
      <c r="G207" s="1815"/>
      <c r="H207" s="1815"/>
      <c r="I207" s="1815"/>
      <c r="J207" s="1815"/>
      <c r="K207" s="1815"/>
      <c r="L207" s="1815"/>
      <c r="M207" s="1815"/>
      <c r="N207" s="1815"/>
      <c r="O207" s="1815"/>
      <c r="P207" s="1815"/>
      <c r="Q207" s="1815"/>
      <c r="R207" s="1815"/>
      <c r="S207" s="1815"/>
      <c r="T207" s="1815"/>
      <c r="U207" s="1815"/>
      <c r="V207" s="1815"/>
      <c r="W207" s="1815"/>
      <c r="X207" s="1815"/>
      <c r="Y207" s="1815"/>
      <c r="Z207" s="1815"/>
      <c r="AA207" s="1815"/>
      <c r="AB207" s="1815"/>
      <c r="AC207" s="4"/>
      <c r="AD207" s="4"/>
      <c r="AF207" s="1712" t="s">
        <v>65</v>
      </c>
      <c r="AG207" s="1712"/>
      <c r="AH207" s="1712"/>
      <c r="AI207" s="1712"/>
      <c r="AJ207" s="1712"/>
      <c r="AK207" s="1712"/>
      <c r="AL207" s="1712"/>
      <c r="AM207" s="4"/>
      <c r="AN207" s="204"/>
      <c r="AP207" t="s">
        <v>106</v>
      </c>
    </row>
    <row r="208" spans="1:42" customFormat="1" ht="11.85" customHeight="1">
      <c r="A208" s="4"/>
      <c r="B208" s="5"/>
      <c r="C208" s="115"/>
      <c r="D208" s="26"/>
      <c r="E208" s="1815"/>
      <c r="F208" s="1815"/>
      <c r="G208" s="1815"/>
      <c r="H208" s="1815"/>
      <c r="I208" s="1815"/>
      <c r="J208" s="1815"/>
      <c r="K208" s="1815"/>
      <c r="L208" s="1815"/>
      <c r="M208" s="1815"/>
      <c r="N208" s="1815"/>
      <c r="O208" s="1815"/>
      <c r="P208" s="1815"/>
      <c r="Q208" s="1815"/>
      <c r="R208" s="1815"/>
      <c r="S208" s="1815"/>
      <c r="T208" s="1815"/>
      <c r="U208" s="1815"/>
      <c r="V208" s="1815"/>
      <c r="W208" s="1815"/>
      <c r="X208" s="1815"/>
      <c r="Y208" s="1815"/>
      <c r="Z208" s="1815"/>
      <c r="AA208" s="1815"/>
      <c r="AB208" s="1815"/>
      <c r="AC208" s="4"/>
      <c r="AD208" s="4"/>
      <c r="AE208" s="4"/>
      <c r="AM208" s="4"/>
      <c r="AN208" s="204"/>
      <c r="AP208" t="s">
        <v>103</v>
      </c>
    </row>
    <row r="209" spans="1:52" customFormat="1" ht="13.9" customHeight="1">
      <c r="A209" s="4"/>
      <c r="B209" s="42"/>
      <c r="C209" s="45"/>
      <c r="D209" s="26"/>
      <c r="E209" s="1815"/>
      <c r="F209" s="1815"/>
      <c r="G209" s="1815"/>
      <c r="H209" s="1815"/>
      <c r="I209" s="1815"/>
      <c r="J209" s="1815"/>
      <c r="K209" s="1815"/>
      <c r="L209" s="1815"/>
      <c r="M209" s="1815"/>
      <c r="N209" s="1815"/>
      <c r="O209" s="1815"/>
      <c r="P209" s="1815"/>
      <c r="Q209" s="1815"/>
      <c r="R209" s="1815"/>
      <c r="S209" s="1815"/>
      <c r="T209" s="1815"/>
      <c r="U209" s="1815"/>
      <c r="V209" s="1815"/>
      <c r="W209" s="1815"/>
      <c r="X209" s="1815"/>
      <c r="Y209" s="1815"/>
      <c r="Z209" s="1815"/>
      <c r="AA209" s="1815"/>
      <c r="AB209" s="1815"/>
      <c r="AC209" s="4"/>
      <c r="AD209" s="4"/>
      <c r="AE209" s="19"/>
      <c r="AM209" s="4"/>
      <c r="AN209" s="204"/>
      <c r="AP209" t="s">
        <v>104</v>
      </c>
    </row>
    <row r="210" spans="1:52" customFormat="1" ht="13.9" customHeight="1">
      <c r="A210" s="4"/>
      <c r="B210" s="5"/>
      <c r="C210" s="45"/>
      <c r="D210" s="26" t="s">
        <v>208</v>
      </c>
      <c r="E210" s="1883" t="s">
        <v>1307</v>
      </c>
      <c r="F210" s="1883"/>
      <c r="G210" s="1883"/>
      <c r="H210" s="1883"/>
      <c r="I210" s="1883"/>
      <c r="J210" s="1883"/>
      <c r="K210" s="1883"/>
      <c r="L210" s="1883"/>
      <c r="M210" s="1883"/>
      <c r="N210" s="1883"/>
      <c r="O210" s="1883"/>
      <c r="P210" s="1883"/>
      <c r="Q210" s="1883"/>
      <c r="R210" s="1883"/>
      <c r="S210" s="1883"/>
      <c r="T210" s="1883"/>
      <c r="U210" s="1883"/>
      <c r="V210" s="1883"/>
      <c r="W210" s="1883"/>
      <c r="X210" s="1883"/>
      <c r="Y210" s="1883"/>
      <c r="Z210" s="1883"/>
      <c r="AA210" s="1883"/>
      <c r="AB210" s="1883"/>
      <c r="AC210" s="4"/>
      <c r="AD210" s="4"/>
      <c r="AF210" s="1712" t="s">
        <v>111</v>
      </c>
      <c r="AG210" s="1712"/>
      <c r="AH210" s="1712"/>
      <c r="AI210" s="1712"/>
      <c r="AJ210" s="1712"/>
      <c r="AK210" s="1712"/>
      <c r="AL210" s="1712"/>
      <c r="AM210" s="4"/>
      <c r="AN210" s="686"/>
      <c r="AP210" s="48" t="s">
        <v>370</v>
      </c>
    </row>
    <row r="211" spans="1:52" customFormat="1" ht="12.75" customHeight="1">
      <c r="A211" s="4"/>
      <c r="B211" s="5"/>
      <c r="C211" s="115"/>
      <c r="D211" s="4"/>
      <c r="E211" s="1883"/>
      <c r="F211" s="1883"/>
      <c r="G211" s="1883"/>
      <c r="H211" s="1883"/>
      <c r="I211" s="1883"/>
      <c r="J211" s="1883"/>
      <c r="K211" s="1883"/>
      <c r="L211" s="1883"/>
      <c r="M211" s="1883"/>
      <c r="N211" s="1883"/>
      <c r="O211" s="1883"/>
      <c r="P211" s="1883"/>
      <c r="Q211" s="1883"/>
      <c r="R211" s="1883"/>
      <c r="S211" s="1883"/>
      <c r="T211" s="1883"/>
      <c r="U211" s="1883"/>
      <c r="V211" s="1883"/>
      <c r="W211" s="1883"/>
      <c r="X211" s="1883"/>
      <c r="Y211" s="1883"/>
      <c r="Z211" s="1883"/>
      <c r="AA211" s="1883"/>
      <c r="AB211" s="1883"/>
      <c r="AC211" s="4"/>
      <c r="AD211" s="5"/>
      <c r="AE211" s="4"/>
      <c r="AF211" s="4"/>
      <c r="AG211" s="4"/>
      <c r="AH211" s="4"/>
      <c r="AI211" s="4"/>
      <c r="AJ211" s="4"/>
      <c r="AK211" s="4"/>
      <c r="AL211" s="4"/>
      <c r="AM211" s="4"/>
      <c r="AN211" s="204"/>
      <c r="AP211" s="4" t="s">
        <v>132</v>
      </c>
      <c r="AQ211" s="484">
        <v>0</v>
      </c>
    </row>
    <row r="212" spans="1:52" customFormat="1" ht="13.9" customHeight="1">
      <c r="A212" s="4"/>
      <c r="B212" s="5"/>
      <c r="C212" s="115"/>
      <c r="D212" s="4"/>
      <c r="E212" s="1883"/>
      <c r="F212" s="1883"/>
      <c r="G212" s="1883"/>
      <c r="H212" s="1883"/>
      <c r="I212" s="1883"/>
      <c r="J212" s="1883"/>
      <c r="K212" s="1883"/>
      <c r="L212" s="1883"/>
      <c r="M212" s="1883"/>
      <c r="N212" s="1883"/>
      <c r="O212" s="1883"/>
      <c r="P212" s="1883"/>
      <c r="Q212" s="1883"/>
      <c r="R212" s="1883"/>
      <c r="S212" s="1883"/>
      <c r="T212" s="1883"/>
      <c r="U212" s="1883"/>
      <c r="V212" s="1883"/>
      <c r="W212" s="1883"/>
      <c r="X212" s="1883"/>
      <c r="Y212" s="1883"/>
      <c r="Z212" s="1883"/>
      <c r="AA212" s="1883"/>
      <c r="AB212" s="1883"/>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17" t="s">
        <v>132</v>
      </c>
      <c r="I213" s="181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5">
        <f>VLOOKUP($H$213,$AO$151:$AP$153,2,FALSE)</f>
        <v>0</v>
      </c>
      <c r="AK215" s="1257"/>
      <c r="AL215" s="10"/>
      <c r="AM215" s="4"/>
      <c r="AN215" s="204"/>
      <c r="AP215" s="1255"/>
      <c r="AQ215" s="125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51" t="s">
        <v>1558</v>
      </c>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A219" s="1651"/>
      <c r="AB219" s="1651"/>
      <c r="AC219" s="4"/>
      <c r="AD219" s="4"/>
      <c r="AF219" s="1712" t="s">
        <v>65</v>
      </c>
      <c r="AG219" s="1712"/>
      <c r="AH219" s="1712"/>
      <c r="AI219" s="1712"/>
      <c r="AJ219" s="1712"/>
      <c r="AK219" s="1712"/>
      <c r="AL219" s="1712"/>
      <c r="AM219" s="4"/>
      <c r="AN219" s="204"/>
      <c r="AT219" s="21"/>
      <c r="AU219" s="21"/>
      <c r="AV219" s="21"/>
      <c r="AW219" s="21"/>
      <c r="AX219" s="21"/>
      <c r="AY219" s="21"/>
      <c r="AZ219" s="21"/>
    </row>
    <row r="220" spans="1:52" customFormat="1">
      <c r="A220" s="4"/>
      <c r="B220" s="5"/>
      <c r="C220" s="115"/>
      <c r="D220" s="26"/>
      <c r="E220" s="1651"/>
      <c r="F220" s="1651"/>
      <c r="G220" s="1651"/>
      <c r="H220" s="1651"/>
      <c r="I220" s="1651"/>
      <c r="J220" s="1651"/>
      <c r="K220" s="1651"/>
      <c r="L220" s="1651"/>
      <c r="M220" s="1651"/>
      <c r="N220" s="1651"/>
      <c r="O220" s="1651"/>
      <c r="P220" s="1651"/>
      <c r="Q220" s="1651"/>
      <c r="R220" s="1651"/>
      <c r="S220" s="1651"/>
      <c r="T220" s="1651"/>
      <c r="U220" s="1651"/>
      <c r="V220" s="1651"/>
      <c r="W220" s="1651"/>
      <c r="X220" s="1651"/>
      <c r="Y220" s="1651"/>
      <c r="Z220" s="1651"/>
      <c r="AA220" s="1651"/>
      <c r="AB220" s="1651"/>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1" t="s">
        <v>922</v>
      </c>
      <c r="F222" s="1651"/>
      <c r="G222" s="1651"/>
      <c r="H222" s="1651"/>
      <c r="I222" s="1651"/>
      <c r="J222" s="1651"/>
      <c r="K222" s="1651"/>
      <c r="L222" s="1651"/>
      <c r="M222" s="1651"/>
      <c r="N222" s="1651"/>
      <c r="O222" s="1651"/>
      <c r="P222" s="1651"/>
      <c r="Q222" s="1651"/>
      <c r="R222" s="1651"/>
      <c r="S222" s="1651"/>
      <c r="T222" s="1651"/>
      <c r="U222" s="1651"/>
      <c r="V222" s="1651"/>
      <c r="W222" s="1651"/>
      <c r="X222" s="1651"/>
      <c r="Y222" s="1651"/>
      <c r="Z222" s="1651"/>
      <c r="AA222" s="1651"/>
      <c r="AB222" s="1651"/>
      <c r="AC222" s="4"/>
      <c r="AD222" s="4"/>
      <c r="AF222" s="1712" t="s">
        <v>111</v>
      </c>
      <c r="AG222" s="1712"/>
      <c r="AH222" s="1712"/>
      <c r="AI222" s="1712"/>
      <c r="AJ222" s="1712"/>
      <c r="AK222" s="1712"/>
      <c r="AL222" s="1712"/>
      <c r="AM222" s="4"/>
      <c r="AN222" s="204"/>
      <c r="AT222" s="21"/>
      <c r="AU222" s="21"/>
      <c r="AV222" s="21"/>
      <c r="AW222" s="21"/>
      <c r="AX222" s="21"/>
      <c r="AY222" s="21"/>
      <c r="AZ222" s="21"/>
    </row>
    <row r="223" spans="1:52" customFormat="1">
      <c r="A223" s="4"/>
      <c r="B223" s="5"/>
      <c r="C223" s="115"/>
      <c r="D223" s="4"/>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7" t="s">
        <v>132</v>
      </c>
      <c r="I225" s="181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5">
        <f>VLOOKUP($H$225,$AO$165:$AP$167,2,FALSE)</f>
        <v>0</v>
      </c>
      <c r="AK227" s="125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51" t="s">
        <v>1169</v>
      </c>
      <c r="F231" s="1651"/>
      <c r="G231" s="1651"/>
      <c r="H231" s="1651"/>
      <c r="I231" s="1651"/>
      <c r="J231" s="1651"/>
      <c r="K231" s="1651"/>
      <c r="L231" s="1651"/>
      <c r="M231" s="1651"/>
      <c r="N231" s="1651"/>
      <c r="O231" s="1651"/>
      <c r="P231" s="1651"/>
      <c r="Q231" s="1651"/>
      <c r="R231" s="1651"/>
      <c r="S231" s="1651"/>
      <c r="T231" s="1651"/>
      <c r="U231" s="1651"/>
      <c r="V231" s="1651"/>
      <c r="W231" s="1651"/>
      <c r="X231" s="1651"/>
      <c r="Y231" s="1651"/>
      <c r="Z231" s="1651"/>
      <c r="AA231" s="1651"/>
      <c r="AB231" s="1651"/>
      <c r="AC231" s="4"/>
      <c r="AD231" s="4"/>
      <c r="AF231" s="1712" t="s">
        <v>65</v>
      </c>
      <c r="AG231" s="1712"/>
      <c r="AH231" s="1712"/>
      <c r="AI231" s="1712"/>
      <c r="AJ231" s="1712"/>
      <c r="AK231" s="1712"/>
      <c r="AL231" s="1712"/>
      <c r="AM231" s="4"/>
      <c r="AN231" s="204"/>
      <c r="AT231" s="21"/>
      <c r="AU231" s="21"/>
      <c r="AV231" s="21"/>
      <c r="AW231" s="21"/>
      <c r="AX231" s="21"/>
      <c r="AY231" s="21"/>
      <c r="AZ231" s="21"/>
    </row>
    <row r="232" spans="1:82" customFormat="1">
      <c r="A232" s="4"/>
      <c r="B232" s="5"/>
      <c r="C232" s="115"/>
      <c r="D232" s="26"/>
      <c r="E232" s="1651"/>
      <c r="F232" s="1651"/>
      <c r="G232" s="1651"/>
      <c r="H232" s="1651"/>
      <c r="I232" s="1651"/>
      <c r="J232" s="1651"/>
      <c r="K232" s="1651"/>
      <c r="L232" s="1651"/>
      <c r="M232" s="1651"/>
      <c r="N232" s="1651"/>
      <c r="O232" s="1651"/>
      <c r="P232" s="1651"/>
      <c r="Q232" s="1651"/>
      <c r="R232" s="1651"/>
      <c r="S232" s="1651"/>
      <c r="T232" s="1651"/>
      <c r="U232" s="1651"/>
      <c r="V232" s="1651"/>
      <c r="W232" s="1651"/>
      <c r="X232" s="1651"/>
      <c r="Y232" s="1651"/>
      <c r="Z232" s="1651"/>
      <c r="AA232" s="1651"/>
      <c r="AB232" s="1651"/>
      <c r="AC232" s="4"/>
      <c r="AD232" s="4"/>
      <c r="AL232" s="4"/>
      <c r="AM232" s="4"/>
      <c r="AN232" s="204"/>
    </row>
    <row r="233" spans="1:82" customFormat="1" ht="12.75" customHeight="1">
      <c r="A233" s="4"/>
      <c r="B233" s="5"/>
      <c r="C233" s="115"/>
      <c r="D233" s="26"/>
      <c r="E233" s="1651"/>
      <c r="F233" s="1651"/>
      <c r="G233" s="1651"/>
      <c r="H233" s="1651"/>
      <c r="I233" s="1651"/>
      <c r="J233" s="1651"/>
      <c r="K233" s="1651"/>
      <c r="L233" s="1651"/>
      <c r="M233" s="1651"/>
      <c r="N233" s="1651"/>
      <c r="O233" s="1651"/>
      <c r="P233" s="1651"/>
      <c r="Q233" s="1651"/>
      <c r="R233" s="1651"/>
      <c r="S233" s="1651"/>
      <c r="T233" s="1651"/>
      <c r="U233" s="1651"/>
      <c r="V233" s="1651"/>
      <c r="W233" s="1651"/>
      <c r="X233" s="1651"/>
      <c r="Y233" s="1651"/>
      <c r="Z233" s="1651"/>
      <c r="AA233" s="1651"/>
      <c r="AB233" s="1651"/>
      <c r="AC233" s="4"/>
      <c r="AD233" s="4"/>
      <c r="AE233" s="4"/>
      <c r="AF233" s="5"/>
      <c r="AG233" s="4"/>
      <c r="AH233" s="4"/>
      <c r="AI233" s="4"/>
      <c r="AJ233" s="4"/>
      <c r="AK233" s="4"/>
      <c r="AL233" s="4"/>
      <c r="AM233" s="4"/>
      <c r="AN233" s="682"/>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51" t="s">
        <v>1170</v>
      </c>
      <c r="F235" s="1651"/>
      <c r="G235" s="1651"/>
      <c r="H235" s="1651"/>
      <c r="I235" s="1651"/>
      <c r="J235" s="1651"/>
      <c r="K235" s="1651"/>
      <c r="L235" s="1651"/>
      <c r="M235" s="1651"/>
      <c r="N235" s="1651"/>
      <c r="O235" s="1651"/>
      <c r="P235" s="1651"/>
      <c r="Q235" s="1651"/>
      <c r="R235" s="1651"/>
      <c r="S235" s="1651"/>
      <c r="T235" s="1651"/>
      <c r="U235" s="1651"/>
      <c r="V235" s="1651"/>
      <c r="W235" s="1651"/>
      <c r="X235" s="1651"/>
      <c r="Y235" s="1651"/>
      <c r="Z235" s="1651"/>
      <c r="AA235" s="1651"/>
      <c r="AB235" s="344"/>
      <c r="AC235" s="4"/>
      <c r="AD235" s="4"/>
      <c r="AF235" s="1712" t="s">
        <v>111</v>
      </c>
      <c r="AG235" s="1712"/>
      <c r="AH235" s="1712"/>
      <c r="AI235" s="1712"/>
      <c r="AJ235" s="1712"/>
      <c r="AK235" s="1712"/>
      <c r="AL235" s="1712"/>
      <c r="AM235" s="4"/>
      <c r="AN235" s="204"/>
      <c r="AO235" s="38"/>
      <c r="AP235" s="21"/>
    </row>
    <row r="236" spans="1:82" customFormat="1">
      <c r="A236" s="4"/>
      <c r="B236" s="5"/>
      <c r="C236" s="45"/>
      <c r="D236" s="4"/>
      <c r="E236" s="1651"/>
      <c r="F236" s="1651"/>
      <c r="G236" s="1651"/>
      <c r="H236" s="1651"/>
      <c r="I236" s="1651"/>
      <c r="J236" s="1651"/>
      <c r="K236" s="1651"/>
      <c r="L236" s="1651"/>
      <c r="M236" s="1651"/>
      <c r="N236" s="1651"/>
      <c r="O236" s="1651"/>
      <c r="P236" s="1651"/>
      <c r="Q236" s="1651"/>
      <c r="R236" s="1651"/>
      <c r="S236" s="1651"/>
      <c r="T236" s="1651"/>
      <c r="U236" s="1651"/>
      <c r="V236" s="1651"/>
      <c r="W236" s="1651"/>
      <c r="X236" s="1651"/>
      <c r="Y236" s="1651"/>
      <c r="Z236" s="1651"/>
      <c r="AA236" s="1651"/>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1"/>
      <c r="F237" s="1651"/>
      <c r="G237" s="1651"/>
      <c r="H237" s="1651"/>
      <c r="I237" s="1651"/>
      <c r="J237" s="1651"/>
      <c r="K237" s="1651"/>
      <c r="L237" s="1651"/>
      <c r="M237" s="1651"/>
      <c r="N237" s="1651"/>
      <c r="O237" s="1651"/>
      <c r="P237" s="1651"/>
      <c r="Q237" s="1651"/>
      <c r="R237" s="1651"/>
      <c r="S237" s="1651"/>
      <c r="T237" s="1651"/>
      <c r="U237" s="1651"/>
      <c r="V237" s="1651"/>
      <c r="W237" s="1651"/>
      <c r="X237" s="1651"/>
      <c r="Y237" s="1651"/>
      <c r="Z237" s="1651"/>
      <c r="AA237" s="1651"/>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7" t="s">
        <v>611</v>
      </c>
      <c r="I239" s="181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2"/>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5">
        <f>VLOOKUP($H$239,$AO$178:$AP$180,2,FALSE)</f>
        <v>3</v>
      </c>
      <c r="AK241" s="1257"/>
      <c r="AL241" s="10"/>
      <c r="AM241" s="4"/>
      <c r="AN241" s="682"/>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2"/>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2"/>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2"/>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51" t="s">
        <v>338</v>
      </c>
      <c r="F245" s="1651"/>
      <c r="G245" s="1651"/>
      <c r="H245" s="1651"/>
      <c r="I245" s="1651"/>
      <c r="J245" s="1651"/>
      <c r="K245" s="1651"/>
      <c r="L245" s="1651"/>
      <c r="M245" s="1651"/>
      <c r="N245" s="1651"/>
      <c r="O245" s="1651"/>
      <c r="P245" s="1651"/>
      <c r="Q245" s="1651"/>
      <c r="R245" s="1651"/>
      <c r="S245" s="1651"/>
      <c r="T245" s="1651"/>
      <c r="U245" s="1651"/>
      <c r="V245" s="1651"/>
      <c r="W245" s="1651"/>
      <c r="X245" s="1651"/>
      <c r="Y245" s="1651"/>
      <c r="Z245" s="1651"/>
      <c r="AA245" s="1651"/>
      <c r="AB245" s="1651"/>
      <c r="AC245" s="4"/>
      <c r="AD245" s="4"/>
      <c r="AF245" s="1712" t="s">
        <v>111</v>
      </c>
      <c r="AG245" s="1712"/>
      <c r="AH245" s="1712"/>
      <c r="AI245" s="1712"/>
      <c r="AJ245" s="1712"/>
      <c r="AK245" s="1712"/>
      <c r="AL245" s="1712"/>
      <c r="AM245" s="4"/>
      <c r="AN245" s="682"/>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1"/>
      <c r="F246" s="1651"/>
      <c r="G246" s="1651"/>
      <c r="H246" s="1651"/>
      <c r="I246" s="1651"/>
      <c r="J246" s="1651"/>
      <c r="K246" s="1651"/>
      <c r="L246" s="1651"/>
      <c r="M246" s="1651"/>
      <c r="N246" s="1651"/>
      <c r="O246" s="1651"/>
      <c r="P246" s="1651"/>
      <c r="Q246" s="1651"/>
      <c r="R246" s="1651"/>
      <c r="S246" s="1651"/>
      <c r="T246" s="1651"/>
      <c r="U246" s="1651"/>
      <c r="V246" s="1651"/>
      <c r="W246" s="1651"/>
      <c r="X246" s="1651"/>
      <c r="Y246" s="1651"/>
      <c r="Z246" s="1651"/>
      <c r="AA246" s="1651"/>
      <c r="AB246" s="1651"/>
      <c r="AC246" s="4"/>
      <c r="AD246" s="4"/>
      <c r="AL246" s="4"/>
      <c r="AM246" s="4"/>
      <c r="AN246" s="682"/>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2"/>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51" t="s">
        <v>1308</v>
      </c>
      <c r="F248" s="1651"/>
      <c r="G248" s="1651"/>
      <c r="H248" s="1651"/>
      <c r="I248" s="1651"/>
      <c r="J248" s="1651"/>
      <c r="K248" s="1651"/>
      <c r="L248" s="1651"/>
      <c r="M248" s="1651"/>
      <c r="N248" s="1651"/>
      <c r="O248" s="1651"/>
      <c r="P248" s="1651"/>
      <c r="Q248" s="1651"/>
      <c r="R248" s="1651"/>
      <c r="S248" s="1651"/>
      <c r="T248" s="1651"/>
      <c r="U248" s="1651"/>
      <c r="V248" s="1651"/>
      <c r="W248" s="1651"/>
      <c r="X248" s="1651"/>
      <c r="Y248" s="1651"/>
      <c r="Z248" s="1651"/>
      <c r="AA248" s="1651"/>
      <c r="AB248" s="1651"/>
      <c r="AC248" s="4"/>
      <c r="AD248" s="4"/>
      <c r="AF248" s="1712" t="s">
        <v>339</v>
      </c>
      <c r="AG248" s="1712"/>
      <c r="AH248" s="1712"/>
      <c r="AI248" s="1712"/>
      <c r="AJ248" s="1712"/>
      <c r="AK248" s="1712"/>
      <c r="AL248" s="1712"/>
      <c r="AM248" s="4"/>
      <c r="AN248" s="682"/>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1"/>
      <c r="F249" s="1651"/>
      <c r="G249" s="1651"/>
      <c r="H249" s="1651"/>
      <c r="I249" s="1651"/>
      <c r="J249" s="1651"/>
      <c r="K249" s="1651"/>
      <c r="L249" s="1651"/>
      <c r="M249" s="1651"/>
      <c r="N249" s="1651"/>
      <c r="O249" s="1651"/>
      <c r="P249" s="1651"/>
      <c r="Q249" s="1651"/>
      <c r="R249" s="1651"/>
      <c r="S249" s="1651"/>
      <c r="T249" s="1651"/>
      <c r="U249" s="1651"/>
      <c r="V249" s="1651"/>
      <c r="W249" s="1651"/>
      <c r="X249" s="1651"/>
      <c r="Y249" s="1651"/>
      <c r="Z249" s="1651"/>
      <c r="AA249" s="1651"/>
      <c r="AB249" s="1651"/>
      <c r="AC249" s="4"/>
      <c r="AD249" s="4"/>
      <c r="AE249" s="108"/>
      <c r="AM249" s="4"/>
      <c r="AN249" s="682"/>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2"/>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7" t="s">
        <v>611</v>
      </c>
      <c r="I251" s="181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2"/>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2"/>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5">
        <f>VLOOKUP($H$251,$AO$191:$AP$193,2,FALSE)</f>
        <v>2</v>
      </c>
      <c r="AK253" s="1257"/>
      <c r="AL253" s="10"/>
      <c r="AM253" s="4"/>
      <c r="AN253" s="682"/>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2"/>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2"/>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51" t="s">
        <v>2047</v>
      </c>
      <c r="F257" s="1651"/>
      <c r="G257" s="1651"/>
      <c r="H257" s="1651"/>
      <c r="I257" s="1651"/>
      <c r="J257" s="1651"/>
      <c r="K257" s="1651"/>
      <c r="L257" s="1651"/>
      <c r="M257" s="1651"/>
      <c r="N257" s="1651"/>
      <c r="O257" s="1651"/>
      <c r="P257" s="1651"/>
      <c r="Q257" s="1651"/>
      <c r="R257" s="1651"/>
      <c r="S257" s="1651"/>
      <c r="T257" s="1651"/>
      <c r="U257" s="1651"/>
      <c r="V257" s="1651"/>
      <c r="W257" s="1651"/>
      <c r="X257" s="1651"/>
      <c r="Y257" s="1651"/>
      <c r="Z257" s="1651"/>
      <c r="AA257" s="1651"/>
      <c r="AB257" s="1651"/>
      <c r="AC257" s="1651"/>
      <c r="AD257" s="1651"/>
      <c r="AF257" s="1712" t="s">
        <v>111</v>
      </c>
      <c r="AG257" s="1712"/>
      <c r="AH257" s="1712"/>
      <c r="AI257" s="1712"/>
      <c r="AJ257" s="1712"/>
      <c r="AK257" s="1712"/>
      <c r="AL257" s="1712"/>
      <c r="AM257" s="104"/>
      <c r="AN257" s="204"/>
    </row>
    <row r="258" spans="1:82" customFormat="1">
      <c r="A258" s="4"/>
      <c r="B258" s="102"/>
      <c r="C258" s="137"/>
      <c r="D258" s="26"/>
      <c r="E258" s="1651"/>
      <c r="F258" s="1651"/>
      <c r="G258" s="1651"/>
      <c r="H258" s="1651"/>
      <c r="I258" s="1651"/>
      <c r="J258" s="1651"/>
      <c r="K258" s="1651"/>
      <c r="L258" s="1651"/>
      <c r="M258" s="1651"/>
      <c r="N258" s="1651"/>
      <c r="O258" s="1651"/>
      <c r="P258" s="1651"/>
      <c r="Q258" s="1651"/>
      <c r="R258" s="1651"/>
      <c r="S258" s="1651"/>
      <c r="T258" s="1651"/>
      <c r="U258" s="1651"/>
      <c r="V258" s="1651"/>
      <c r="W258" s="1651"/>
      <c r="X258" s="1651"/>
      <c r="Y258" s="1651"/>
      <c r="Z258" s="1651"/>
      <c r="AA258" s="1651"/>
      <c r="AB258" s="1651"/>
      <c r="AC258" s="1651"/>
      <c r="AD258" s="1651"/>
      <c r="AL258" s="108"/>
      <c r="AM258" s="104"/>
      <c r="AN258" s="682"/>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1"/>
      <c r="F259" s="1651"/>
      <c r="G259" s="1651"/>
      <c r="H259" s="1651"/>
      <c r="I259" s="1651"/>
      <c r="J259" s="1651"/>
      <c r="K259" s="1651"/>
      <c r="L259" s="1651"/>
      <c r="M259" s="1651"/>
      <c r="N259" s="1651"/>
      <c r="O259" s="1651"/>
      <c r="P259" s="1651"/>
      <c r="Q259" s="1651"/>
      <c r="R259" s="1651"/>
      <c r="S259" s="1651"/>
      <c r="T259" s="1651"/>
      <c r="U259" s="1651"/>
      <c r="V259" s="1651"/>
      <c r="W259" s="1651"/>
      <c r="X259" s="1651"/>
      <c r="Y259" s="1651"/>
      <c r="Z259" s="1651"/>
      <c r="AA259" s="1651"/>
      <c r="AB259" s="1651"/>
      <c r="AC259" s="1651"/>
      <c r="AD259" s="1651"/>
      <c r="AE259" s="108"/>
      <c r="AF259" s="108"/>
      <c r="AG259" s="108"/>
      <c r="AH259" s="108"/>
      <c r="AI259" s="108"/>
      <c r="AJ259" s="108"/>
      <c r="AK259" s="108"/>
      <c r="AL259" s="108"/>
      <c r="AM259" s="104"/>
      <c r="AN259" s="682"/>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8" t="s">
        <v>2048</v>
      </c>
      <c r="F261" s="1888"/>
      <c r="G261" s="1888"/>
      <c r="H261" s="1888"/>
      <c r="I261" s="1888"/>
      <c r="J261" s="1888"/>
      <c r="K261" s="1888"/>
      <c r="L261" s="1888"/>
      <c r="M261" s="1888"/>
      <c r="N261" s="1888"/>
      <c r="O261" s="1888"/>
      <c r="P261" s="1888"/>
      <c r="Q261" s="1888"/>
      <c r="R261" s="1888"/>
      <c r="S261" s="1888"/>
      <c r="T261" s="1888"/>
      <c r="U261" s="1888"/>
      <c r="V261" s="1888"/>
      <c r="W261" s="1888"/>
      <c r="X261" s="1888"/>
      <c r="Y261" s="1888"/>
      <c r="Z261" s="1888"/>
      <c r="AA261" s="1888"/>
      <c r="AB261" s="1888"/>
      <c r="AC261" s="1888"/>
      <c r="AD261" s="1888"/>
      <c r="AF261" s="1712" t="s">
        <v>65</v>
      </c>
      <c r="AG261" s="1712"/>
      <c r="AH261" s="1712"/>
      <c r="AI261" s="1712"/>
      <c r="AJ261" s="1712"/>
      <c r="AK261" s="1712"/>
      <c r="AL261" s="1712"/>
      <c r="AM261" s="104"/>
      <c r="AN261" s="281"/>
    </row>
    <row r="262" spans="1:82" s="4" customFormat="1" ht="12.75" customHeight="1">
      <c r="B262" s="102"/>
      <c r="C262" s="137"/>
      <c r="D262" s="26"/>
      <c r="E262" s="1888"/>
      <c r="F262" s="1888"/>
      <c r="G262" s="1888"/>
      <c r="H262" s="1888"/>
      <c r="I262" s="1888"/>
      <c r="J262" s="1888"/>
      <c r="K262" s="1888"/>
      <c r="L262" s="1888"/>
      <c r="M262" s="1888"/>
      <c r="N262" s="1888"/>
      <c r="O262" s="1888"/>
      <c r="P262" s="1888"/>
      <c r="Q262" s="1888"/>
      <c r="R262" s="1888"/>
      <c r="S262" s="1888"/>
      <c r="T262" s="1888"/>
      <c r="U262" s="1888"/>
      <c r="V262" s="1888"/>
      <c r="W262" s="1888"/>
      <c r="X262" s="1888"/>
      <c r="Y262" s="1888"/>
      <c r="Z262" s="1888"/>
      <c r="AA262" s="1888"/>
      <c r="AB262" s="1888"/>
      <c r="AC262" s="1888"/>
      <c r="AD262" s="1888"/>
      <c r="AE262" s="108"/>
      <c r="AF262" s="108"/>
      <c r="AG262" s="108"/>
      <c r="AH262" s="108"/>
      <c r="AI262" s="108"/>
      <c r="AJ262" s="108"/>
      <c r="AK262" s="108"/>
      <c r="AL262" s="108"/>
      <c r="AM262" s="104"/>
      <c r="AN262" s="281"/>
    </row>
    <row r="263" spans="1:82" s="4" customFormat="1" ht="12.75" customHeight="1">
      <c r="B263" s="102"/>
      <c r="C263" s="137"/>
      <c r="D263" s="26"/>
      <c r="E263" s="1888"/>
      <c r="F263" s="1888"/>
      <c r="G263" s="1888"/>
      <c r="H263" s="1888"/>
      <c r="I263" s="1888"/>
      <c r="J263" s="1888"/>
      <c r="K263" s="1888"/>
      <c r="L263" s="1888"/>
      <c r="M263" s="1888"/>
      <c r="N263" s="1888"/>
      <c r="O263" s="1888"/>
      <c r="P263" s="1888"/>
      <c r="Q263" s="1888"/>
      <c r="R263" s="1888"/>
      <c r="S263" s="1888"/>
      <c r="T263" s="1888"/>
      <c r="U263" s="1888"/>
      <c r="V263" s="1888"/>
      <c r="W263" s="1888"/>
      <c r="X263" s="1888"/>
      <c r="Y263" s="1888"/>
      <c r="Z263" s="1888"/>
      <c r="AA263" s="1888"/>
      <c r="AB263" s="1888"/>
      <c r="AC263" s="1888"/>
      <c r="AD263" s="1888"/>
      <c r="AE263" s="108"/>
      <c r="AF263" s="108"/>
      <c r="AG263" s="108"/>
      <c r="AH263" s="108"/>
      <c r="AI263" s="108"/>
      <c r="AJ263" s="108"/>
      <c r="AK263" s="108"/>
      <c r="AL263" s="108"/>
      <c r="AM263" s="104"/>
      <c r="AN263" s="281"/>
    </row>
    <row r="264" spans="1:82" s="4" customFormat="1" ht="12.75" customHeight="1">
      <c r="B264" s="102"/>
      <c r="C264" s="137"/>
      <c r="D264" s="26"/>
      <c r="E264" s="1888"/>
      <c r="F264" s="1888"/>
      <c r="G264" s="1888"/>
      <c r="H264" s="1888"/>
      <c r="I264" s="1888"/>
      <c r="J264" s="1888"/>
      <c r="K264" s="1888"/>
      <c r="L264" s="1888"/>
      <c r="M264" s="1888"/>
      <c r="N264" s="1888"/>
      <c r="O264" s="1888"/>
      <c r="P264" s="1888"/>
      <c r="Q264" s="1888"/>
      <c r="R264" s="1888"/>
      <c r="S264" s="1888"/>
      <c r="T264" s="1888"/>
      <c r="U264" s="1888"/>
      <c r="V264" s="1888"/>
      <c r="W264" s="1888"/>
      <c r="X264" s="1888"/>
      <c r="Y264" s="1888"/>
      <c r="Z264" s="1888"/>
      <c r="AA264" s="1888"/>
      <c r="AB264" s="1888"/>
      <c r="AC264" s="1888"/>
      <c r="AD264" s="188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7" t="s">
        <v>132</v>
      </c>
      <c r="I266" s="181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5">
        <f>VLOOKUP($H$266,$AP$211:$AQ$213,2,FALSE)</f>
        <v>0</v>
      </c>
      <c r="AK268" s="125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7"/>
      <c r="AT269" s="437"/>
      <c r="AU269" s="437"/>
      <c r="AV269" s="437"/>
      <c r="AW269" s="437"/>
      <c r="AX269" s="437"/>
      <c r="AY269" s="437"/>
      <c r="AZ269" s="437"/>
      <c r="BA269" s="437"/>
      <c r="BB269" s="437"/>
      <c r="BC269" s="437"/>
      <c r="BD269" s="654"/>
      <c r="BE269" s="654"/>
      <c r="BF269" s="654"/>
      <c r="BG269" s="654"/>
      <c r="BH269" s="654"/>
      <c r="BI269" s="437"/>
      <c r="BJ269" s="437"/>
      <c r="BK269" s="437"/>
      <c r="BL269" s="437"/>
      <c r="BM269" s="437"/>
      <c r="BN269" s="437"/>
      <c r="BO269" s="437"/>
      <c r="BP269" s="437"/>
      <c r="BQ269" s="437"/>
      <c r="BR269" s="437"/>
      <c r="BS269" s="437"/>
      <c r="BT269" s="437"/>
      <c r="BU269" s="437"/>
      <c r="BV269" s="437"/>
      <c r="BW269" s="437"/>
      <c r="BX269" s="437"/>
      <c r="BY269" s="437"/>
      <c r="BZ269" s="437"/>
      <c r="CA269" s="437"/>
      <c r="CB269" s="437"/>
      <c r="CC269" s="437"/>
      <c r="CD269" s="437"/>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7"/>
      <c r="AU270" s="437"/>
      <c r="AV270" s="437"/>
      <c r="AW270" s="437"/>
      <c r="AX270" s="437"/>
      <c r="AY270" s="437"/>
      <c r="AZ270" s="437"/>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7"/>
      <c r="AT271" s="437"/>
      <c r="AU271" s="437"/>
      <c r="AV271" s="437"/>
      <c r="AW271" s="437"/>
      <c r="AX271" s="437"/>
      <c r="AY271" s="437"/>
      <c r="AZ271" s="437"/>
      <c r="BA271" s="437"/>
      <c r="BB271" s="437"/>
      <c r="BC271" s="437"/>
      <c r="BD271" s="654"/>
      <c r="BE271" s="654"/>
      <c r="BF271" s="654"/>
      <c r="BG271" s="654"/>
      <c r="BH271" s="654"/>
      <c r="BI271" s="437"/>
      <c r="BJ271" s="437"/>
      <c r="BK271" s="437"/>
      <c r="BL271" s="437"/>
      <c r="BM271" s="437"/>
      <c r="BN271" s="437"/>
      <c r="BO271" s="437"/>
      <c r="BP271" s="437"/>
      <c r="BQ271" s="437"/>
      <c r="BR271" s="437"/>
      <c r="BS271" s="437"/>
      <c r="BT271" s="437"/>
      <c r="BU271" s="437"/>
      <c r="BV271" s="437"/>
      <c r="BW271" s="437"/>
      <c r="BX271" s="437"/>
      <c r="BY271" s="437"/>
      <c r="BZ271" s="437"/>
      <c r="CA271" s="437"/>
      <c r="CB271" s="437"/>
      <c r="CC271" s="437"/>
      <c r="CD271" s="437"/>
    </row>
    <row r="272" spans="1:82" customFormat="1" ht="13.7" customHeight="1">
      <c r="A272" s="4"/>
      <c r="B272" s="102"/>
      <c r="C272" s="137"/>
      <c r="D272" s="26" t="s">
        <v>611</v>
      </c>
      <c r="E272" s="1651" t="s">
        <v>2346</v>
      </c>
      <c r="F272" s="1651"/>
      <c r="G272" s="1651"/>
      <c r="H272" s="1651"/>
      <c r="I272" s="1651"/>
      <c r="J272" s="1651"/>
      <c r="K272" s="1651"/>
      <c r="L272" s="1651"/>
      <c r="M272" s="1651"/>
      <c r="N272" s="1651"/>
      <c r="O272" s="1651"/>
      <c r="P272" s="1651"/>
      <c r="Q272" s="1651"/>
      <c r="R272" s="1651"/>
      <c r="S272" s="1651"/>
      <c r="T272" s="1651"/>
      <c r="U272" s="1651"/>
      <c r="V272" s="1651"/>
      <c r="W272" s="1651"/>
      <c r="X272" s="1651"/>
      <c r="Y272" s="1651"/>
      <c r="Z272" s="1651"/>
      <c r="AA272" s="1651"/>
      <c r="AB272" s="1651"/>
      <c r="AC272" s="1651"/>
      <c r="AD272" s="1651"/>
      <c r="AF272" s="1712" t="s">
        <v>1706</v>
      </c>
      <c r="AG272" s="1712"/>
      <c r="AH272" s="1712"/>
      <c r="AI272" s="1712"/>
      <c r="AJ272" s="1712"/>
      <c r="AK272" s="1712"/>
      <c r="AL272" s="1712"/>
      <c r="AM272" s="104"/>
      <c r="AN272" s="204"/>
      <c r="AO272" s="26" t="s">
        <v>116</v>
      </c>
      <c r="AP272" s="4">
        <v>8</v>
      </c>
      <c r="AT272" s="437"/>
      <c r="AU272" s="437"/>
      <c r="AV272" s="437"/>
      <c r="AW272" s="437"/>
      <c r="AX272" s="437"/>
      <c r="AY272" s="437"/>
      <c r="AZ272" s="437"/>
    </row>
    <row r="273" spans="1:82" customFormat="1">
      <c r="A273" s="4"/>
      <c r="B273" s="102"/>
      <c r="C273" s="137"/>
      <c r="D273" s="26"/>
      <c r="E273" s="1651"/>
      <c r="F273" s="1651"/>
      <c r="G273" s="1651"/>
      <c r="H273" s="1651"/>
      <c r="I273" s="1651"/>
      <c r="J273" s="1651"/>
      <c r="K273" s="1651"/>
      <c r="L273" s="1651"/>
      <c r="M273" s="1651"/>
      <c r="N273" s="1651"/>
      <c r="O273" s="1651"/>
      <c r="P273" s="1651"/>
      <c r="Q273" s="1651"/>
      <c r="R273" s="1651"/>
      <c r="S273" s="1651"/>
      <c r="T273" s="1651"/>
      <c r="U273" s="1651"/>
      <c r="V273" s="1651"/>
      <c r="W273" s="1651"/>
      <c r="X273" s="1651"/>
      <c r="Y273" s="1651"/>
      <c r="Z273" s="1651"/>
      <c r="AA273" s="1651"/>
      <c r="AB273" s="1651"/>
      <c r="AC273" s="1651"/>
      <c r="AD273" s="1651"/>
      <c r="AE273" s="108"/>
      <c r="AF273" s="108"/>
      <c r="AG273" s="108"/>
      <c r="AH273" s="108"/>
      <c r="AI273" s="108"/>
      <c r="AJ273" s="108"/>
      <c r="AK273" s="108"/>
      <c r="AL273" s="108"/>
      <c r="AM273" s="104"/>
      <c r="AN273" s="204"/>
      <c r="AO273" s="26"/>
      <c r="AP273" s="4"/>
      <c r="AT273" s="437"/>
      <c r="AU273" s="437"/>
      <c r="AV273" s="437"/>
      <c r="AW273" s="437"/>
      <c r="AX273" s="437"/>
      <c r="AY273" s="437"/>
      <c r="AZ273" s="437"/>
    </row>
    <row r="274" spans="1:82" customFormat="1" ht="18.75" customHeight="1">
      <c r="A274" s="4"/>
      <c r="B274" s="102"/>
      <c r="C274" s="137"/>
      <c r="D274" s="26"/>
      <c r="E274" s="1651"/>
      <c r="F274" s="1651"/>
      <c r="G274" s="1651"/>
      <c r="H274" s="1651"/>
      <c r="I274" s="1651"/>
      <c r="J274" s="1651"/>
      <c r="K274" s="1651"/>
      <c r="L274" s="1651"/>
      <c r="M274" s="1651"/>
      <c r="N274" s="1651"/>
      <c r="O274" s="1651"/>
      <c r="P274" s="1651"/>
      <c r="Q274" s="1651"/>
      <c r="R274" s="1651"/>
      <c r="S274" s="1651"/>
      <c r="T274" s="1651"/>
      <c r="U274" s="1651"/>
      <c r="V274" s="1651"/>
      <c r="W274" s="1651"/>
      <c r="X274" s="1651"/>
      <c r="Y274" s="1651"/>
      <c r="Z274" s="1651"/>
      <c r="AA274" s="1651"/>
      <c r="AB274" s="1651"/>
      <c r="AC274" s="1651"/>
      <c r="AD274" s="1651"/>
      <c r="AE274" s="108"/>
      <c r="AF274" s="108"/>
      <c r="AG274" s="108"/>
      <c r="AH274" s="108"/>
      <c r="AI274" s="108"/>
      <c r="AJ274" s="108"/>
      <c r="AK274" s="108"/>
      <c r="AL274" s="108"/>
      <c r="AM274" s="104"/>
      <c r="AN274" s="204"/>
      <c r="AO274" s="194"/>
      <c r="AT274" s="437"/>
      <c r="AU274" s="437"/>
      <c r="AV274" s="437"/>
      <c r="AW274" s="437"/>
      <c r="AX274" s="437"/>
      <c r="AY274" s="437"/>
      <c r="AZ274" s="437"/>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7"/>
      <c r="AU275" s="437"/>
      <c r="AV275" s="437"/>
      <c r="AW275" s="437"/>
      <c r="AX275" s="437"/>
      <c r="AY275" s="437"/>
      <c r="AZ275" s="437"/>
    </row>
    <row r="276" spans="1:82" customFormat="1">
      <c r="A276" s="4"/>
      <c r="B276" s="102"/>
      <c r="C276" s="137"/>
      <c r="D276" s="4" t="s">
        <v>157</v>
      </c>
      <c r="E276" s="116"/>
      <c r="F276" s="116"/>
      <c r="G276" s="116"/>
      <c r="H276" s="1817" t="s">
        <v>132</v>
      </c>
      <c r="I276" s="181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7"/>
      <c r="AT276" s="437"/>
      <c r="AU276" s="437"/>
      <c r="AV276" s="437"/>
      <c r="AW276" s="437"/>
      <c r="AX276" s="437"/>
      <c r="AY276" s="437"/>
      <c r="AZ276" s="437"/>
      <c r="BA276" s="437"/>
      <c r="BB276" s="437"/>
      <c r="BC276" s="437"/>
      <c r="BD276" s="654"/>
      <c r="BE276" s="654"/>
      <c r="BF276" s="654"/>
      <c r="BG276" s="654"/>
      <c r="BH276" s="654"/>
      <c r="BI276" s="437"/>
      <c r="BJ276" s="437"/>
      <c r="BK276" s="437"/>
      <c r="BL276" s="437"/>
      <c r="BM276" s="437"/>
      <c r="BN276" s="437"/>
      <c r="BO276" s="437"/>
      <c r="BP276" s="437"/>
      <c r="BQ276" s="437"/>
      <c r="BR276" s="437"/>
      <c r="BS276" s="437"/>
      <c r="BT276" s="437"/>
      <c r="BU276" s="437"/>
      <c r="BV276" s="437"/>
      <c r="BW276" s="437"/>
      <c r="BX276" s="437"/>
      <c r="BY276" s="437"/>
      <c r="BZ276" s="437"/>
      <c r="CA276" s="437"/>
      <c r="CB276" s="437"/>
      <c r="CC276" s="437"/>
      <c r="CD276" s="437"/>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7"/>
      <c r="AU277" s="437"/>
      <c r="AV277" s="437"/>
      <c r="AW277" s="437"/>
      <c r="AX277" s="437"/>
      <c r="AY277" s="437"/>
      <c r="AZ277" s="437"/>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5">
        <f>VLOOKUP($H$276,$AO$271:$AP$272,2,FALSE)</f>
        <v>0</v>
      </c>
      <c r="AK278" s="1257"/>
      <c r="AL278" s="10"/>
      <c r="AM278" s="4"/>
      <c r="AN278" s="204"/>
      <c r="AS278" s="437"/>
      <c r="AT278" s="437"/>
      <c r="AU278" s="437"/>
      <c r="AV278" s="437"/>
      <c r="AW278" s="437"/>
      <c r="AX278" s="437"/>
      <c r="AY278" s="437"/>
      <c r="AZ278" s="437"/>
      <c r="BA278" s="437"/>
      <c r="BB278" s="437"/>
      <c r="BC278" s="437"/>
      <c r="BD278" s="654"/>
      <c r="BE278" s="654"/>
      <c r="BF278" s="654"/>
      <c r="BG278" s="654"/>
      <c r="BH278" s="654"/>
      <c r="BI278" s="437"/>
      <c r="BJ278" s="437"/>
      <c r="BK278" s="437"/>
      <c r="BL278" s="437"/>
      <c r="BM278" s="437"/>
      <c r="BN278" s="437"/>
      <c r="BO278" s="437"/>
      <c r="BP278" s="437"/>
      <c r="BQ278" s="437"/>
      <c r="BR278" s="437"/>
      <c r="BS278" s="437"/>
      <c r="BT278" s="437"/>
      <c r="BU278" s="437"/>
      <c r="BV278" s="437"/>
      <c r="BW278" s="437"/>
      <c r="BX278" s="437"/>
      <c r="BY278" s="437"/>
      <c r="BZ278" s="437"/>
      <c r="CA278" s="437"/>
      <c r="CB278" s="437"/>
      <c r="CC278" s="437"/>
      <c r="CD278" s="437"/>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5">
        <f>$AJ$124+$AJ$139+$AJ$151+$AJ$184+$AJ$203+$AJ$215+$AJ$227+$AJ$241+$AJ$253+$AJ$268+AJ278</f>
        <v>23</v>
      </c>
      <c r="AL280" s="1256"/>
      <c r="AM280" s="125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2474</v>
      </c>
      <c r="I284" s="1233"/>
      <c r="J284" s="1233"/>
      <c r="K284" s="1233"/>
      <c r="L284" s="1233"/>
      <c r="M284" s="1233"/>
      <c r="N284" s="1233"/>
      <c r="O284" s="1233"/>
      <c r="P284" s="1233"/>
      <c r="Q284" s="1233"/>
      <c r="R284" s="1233"/>
      <c r="S284"/>
      <c r="T284" s="41" t="s">
        <v>97</v>
      </c>
      <c r="U284"/>
      <c r="V284" s="41"/>
      <c r="W284" s="41"/>
      <c r="X284" s="41"/>
      <c r="Y284" s="41"/>
      <c r="Z284"/>
      <c r="AA284" s="1233" t="s">
        <v>2477</v>
      </c>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235" t="s">
        <v>2475</v>
      </c>
      <c r="I285" s="1235"/>
      <c r="J285" s="1235"/>
      <c r="K285" s="1235"/>
      <c r="L285" s="1235"/>
      <c r="M285" s="1235"/>
      <c r="N285" s="1235"/>
      <c r="O285" s="1235"/>
      <c r="P285" s="1235"/>
      <c r="Q285" s="1235"/>
      <c r="R285" s="1235"/>
      <c r="S285"/>
      <c r="T285" s="41" t="s">
        <v>734</v>
      </c>
      <c r="U285"/>
      <c r="V285" s="41"/>
      <c r="W285" s="41"/>
      <c r="X285" s="41"/>
      <c r="Y285" s="41"/>
      <c r="Z285"/>
      <c r="AA285" s="1235" t="s">
        <v>2478</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429</v>
      </c>
      <c r="I286" s="1235"/>
      <c r="J286" s="1235"/>
      <c r="K286" s="1235"/>
      <c r="L286" s="1235"/>
      <c r="M286" s="1235"/>
      <c r="N286" s="1235"/>
      <c r="O286" s="1235"/>
      <c r="P286" s="1235"/>
      <c r="Q286" s="1235"/>
      <c r="R286" s="1235"/>
      <c r="S286"/>
      <c r="T286" s="41" t="s">
        <v>107</v>
      </c>
      <c r="U286"/>
      <c r="V286" s="41"/>
      <c r="W286" s="41"/>
      <c r="X286" s="41"/>
      <c r="Y286" s="41"/>
      <c r="Z286"/>
      <c r="AA286" s="1235" t="s">
        <v>429</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t="s">
        <v>2476</v>
      </c>
      <c r="I287" s="1235"/>
      <c r="J287" s="1235"/>
      <c r="K287" s="1235"/>
      <c r="L287" s="1235"/>
      <c r="M287" s="1235"/>
      <c r="N287" s="1235"/>
      <c r="O287" s="1235"/>
      <c r="P287" s="1235"/>
      <c r="Q287" s="1235"/>
      <c r="R287" s="1235"/>
      <c r="S287"/>
      <c r="T287" s="41" t="s">
        <v>399</v>
      </c>
      <c r="U287"/>
      <c r="V287" s="41"/>
      <c r="W287" s="41"/>
      <c r="X287" s="41"/>
      <c r="Y287" s="41"/>
      <c r="Z287"/>
      <c r="AA287" s="1235" t="s">
        <v>2479</v>
      </c>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07" t="s">
        <v>2480</v>
      </c>
      <c r="I288" s="1407"/>
      <c r="J288" s="1407"/>
      <c r="K288" s="1407"/>
      <c r="L288" s="1407"/>
      <c r="M288" s="1407"/>
      <c r="N288" s="5" t="s">
        <v>858</v>
      </c>
      <c r="O288" s="5"/>
      <c r="P288" s="1401"/>
      <c r="Q288" s="1401"/>
      <c r="R288" s="1401"/>
      <c r="S288" s="41"/>
      <c r="T288" s="41" t="s">
        <v>400</v>
      </c>
      <c r="U288"/>
      <c r="V288" s="41"/>
      <c r="W288" s="41"/>
      <c r="X288" s="41"/>
      <c r="Y288" s="41"/>
      <c r="Z288"/>
      <c r="AA288" s="1407" t="s">
        <v>2481</v>
      </c>
      <c r="AB288" s="1407"/>
      <c r="AC288" s="1407"/>
      <c r="AD288" s="1407"/>
      <c r="AE288" s="1407"/>
      <c r="AF288" s="1407"/>
      <c r="AG288" s="5" t="s">
        <v>858</v>
      </c>
      <c r="AH288" s="5"/>
      <c r="AI288" s="1401"/>
      <c r="AJ288" s="1401"/>
      <c r="AK288" s="1401"/>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101</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t="s">
        <v>2482</v>
      </c>
      <c r="I290" s="1235"/>
      <c r="J290" s="1235"/>
      <c r="K290" s="1235"/>
      <c r="L290" s="1235"/>
      <c r="M290" s="1235"/>
      <c r="N290" s="1235"/>
      <c r="O290" s="1235"/>
      <c r="P290" s="1235"/>
      <c r="Q290" s="1235"/>
      <c r="R290" s="1235"/>
      <c r="S290" s="41"/>
      <c r="T290" s="41" t="s">
        <v>98</v>
      </c>
      <c r="U290"/>
      <c r="V290" s="41"/>
      <c r="W290" s="41"/>
      <c r="X290" s="41"/>
      <c r="Y290" s="41"/>
      <c r="Z290"/>
      <c r="AA290" s="1235" t="s">
        <v>2484</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4" t="s">
        <v>2483</v>
      </c>
      <c r="I291" s="1674"/>
      <c r="J291" s="1674"/>
      <c r="K291" s="1674"/>
      <c r="L291" s="1674"/>
      <c r="M291" s="1674"/>
      <c r="N291" s="1674"/>
      <c r="O291" s="1674"/>
      <c r="P291" s="1674"/>
      <c r="Q291" s="1674"/>
      <c r="R291" s="1674"/>
      <c r="S291" s="41"/>
      <c r="T291" s="41" t="s">
        <v>109</v>
      </c>
      <c r="U291" s="41"/>
      <c r="V291" s="41"/>
      <c r="W291" s="41"/>
      <c r="X291" s="41"/>
      <c r="Y291" s="41"/>
      <c r="Z291" s="12"/>
      <c r="AA291" s="1674" t="s">
        <v>2485</v>
      </c>
      <c r="AB291" s="1674"/>
      <c r="AC291" s="1674"/>
      <c r="AD291" s="1674"/>
      <c r="AE291" s="1674"/>
      <c r="AF291" s="1674"/>
      <c r="AG291" s="1674"/>
      <c r="AH291" s="1674"/>
      <c r="AI291" s="1674"/>
      <c r="AJ291" s="1674"/>
      <c r="AK291" s="167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2486</v>
      </c>
      <c r="I293" s="1233"/>
      <c r="J293" s="1233"/>
      <c r="K293" s="1233"/>
      <c r="L293" s="1233"/>
      <c r="M293" s="1233"/>
      <c r="N293" s="1233"/>
      <c r="O293" s="1233"/>
      <c r="P293" s="1233"/>
      <c r="Q293" s="1233"/>
      <c r="R293" s="1233"/>
      <c r="S293"/>
      <c r="T293" s="41" t="s">
        <v>97</v>
      </c>
      <c r="U293"/>
      <c r="V293" s="41"/>
      <c r="W293" s="41"/>
      <c r="X293" s="41"/>
      <c r="Y293" s="41"/>
      <c r="Z293"/>
      <c r="AA293" s="1233" t="s">
        <v>2489</v>
      </c>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235" t="s">
        <v>2487</v>
      </c>
      <c r="I294" s="1235"/>
      <c r="J294" s="1235"/>
      <c r="K294" s="1235"/>
      <c r="L294" s="1235"/>
      <c r="M294" s="1235"/>
      <c r="N294" s="1235"/>
      <c r="O294" s="1235"/>
      <c r="P294" s="1235"/>
      <c r="Q294" s="1235"/>
      <c r="R294" s="1235"/>
      <c r="S294"/>
      <c r="T294" s="41" t="s">
        <v>734</v>
      </c>
      <c r="U294"/>
      <c r="V294" s="41"/>
      <c r="W294" s="41"/>
      <c r="X294" s="41"/>
      <c r="Y294" s="41"/>
      <c r="Z294"/>
      <c r="AA294" s="1235" t="s">
        <v>2490</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2488</v>
      </c>
      <c r="I295" s="1235"/>
      <c r="J295" s="1235"/>
      <c r="K295" s="1235"/>
      <c r="L295" s="1235"/>
      <c r="M295" s="1235"/>
      <c r="N295" s="1235"/>
      <c r="O295" s="1235"/>
      <c r="P295" s="1235"/>
      <c r="Q295" s="1235"/>
      <c r="R295" s="1235"/>
      <c r="S295"/>
      <c r="T295" s="41" t="s">
        <v>107</v>
      </c>
      <c r="U295"/>
      <c r="V295" s="41"/>
      <c r="W295" s="41"/>
      <c r="X295" s="41"/>
      <c r="Y295" s="41"/>
      <c r="Z295"/>
      <c r="AA295" s="1235" t="s">
        <v>429</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t="s">
        <v>2476</v>
      </c>
      <c r="I296" s="1235"/>
      <c r="J296" s="1235"/>
      <c r="K296" s="1235"/>
      <c r="L296" s="1235"/>
      <c r="M296" s="1235"/>
      <c r="N296" s="1235"/>
      <c r="O296" s="1235"/>
      <c r="P296" s="1235"/>
      <c r="Q296" s="1235"/>
      <c r="R296" s="1235"/>
      <c r="S296"/>
      <c r="T296" s="41" t="s">
        <v>399</v>
      </c>
      <c r="U296"/>
      <c r="V296" s="41"/>
      <c r="W296" s="41"/>
      <c r="X296" s="41"/>
      <c r="Y296" s="41"/>
      <c r="Z296"/>
      <c r="AA296" s="1235" t="s">
        <v>2491</v>
      </c>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07" t="s">
        <v>2492</v>
      </c>
      <c r="I297" s="1407"/>
      <c r="J297" s="1407"/>
      <c r="K297" s="1407"/>
      <c r="L297" s="1407"/>
      <c r="M297" s="1407"/>
      <c r="N297" s="5" t="s">
        <v>858</v>
      </c>
      <c r="O297" s="5"/>
      <c r="P297" s="1401"/>
      <c r="Q297" s="1401"/>
      <c r="R297" s="1401"/>
      <c r="S297" s="41"/>
      <c r="T297" s="41" t="s">
        <v>400</v>
      </c>
      <c r="U297"/>
      <c r="V297" s="41"/>
      <c r="W297" s="41"/>
      <c r="X297" s="41"/>
      <c r="Y297" s="41"/>
      <c r="Z297"/>
      <c r="AA297" s="1407" t="s">
        <v>2493</v>
      </c>
      <c r="AB297" s="1407"/>
      <c r="AC297" s="1407"/>
      <c r="AD297" s="1407"/>
      <c r="AE297" s="1407"/>
      <c r="AF297" s="1407"/>
      <c r="AG297" s="5" t="s">
        <v>858</v>
      </c>
      <c r="AH297" s="5"/>
      <c r="AI297" s="1401"/>
      <c r="AJ297" s="1401"/>
      <c r="AK297" s="1401"/>
      <c r="AL297" s="10"/>
      <c r="AN297" s="281"/>
    </row>
    <row r="298" spans="1:41" s="4" customFormat="1" ht="12.75" customHeight="1">
      <c r="B298" s="41" t="s">
        <v>96</v>
      </c>
      <c r="C298" s="41"/>
      <c r="D298" s="41"/>
      <c r="E298" s="41"/>
      <c r="F298" s="41"/>
      <c r="G298" s="41"/>
      <c r="H298" s="1235" t="s">
        <v>369</v>
      </c>
      <c r="I298" s="1235"/>
      <c r="J298" s="1235"/>
      <c r="K298" s="1235"/>
      <c r="L298" s="1235"/>
      <c r="M298" s="1235"/>
      <c r="N298" s="1235"/>
      <c r="O298" s="1235"/>
      <c r="P298" s="1235"/>
      <c r="Q298" s="1235"/>
      <c r="R298" s="1235"/>
      <c r="S298" s="41"/>
      <c r="T298" s="41" t="s">
        <v>96</v>
      </c>
      <c r="U298"/>
      <c r="V298" s="41"/>
      <c r="W298" s="41"/>
      <c r="X298" s="41"/>
      <c r="Y298" s="41"/>
      <c r="Z298"/>
      <c r="AA298" s="1235" t="s">
        <v>101</v>
      </c>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2494</v>
      </c>
      <c r="I299" s="1235"/>
      <c r="J299" s="1235"/>
      <c r="K299" s="1235"/>
      <c r="L299" s="1235"/>
      <c r="M299" s="1235"/>
      <c r="N299" s="1235"/>
      <c r="O299" s="1235"/>
      <c r="P299" s="1235"/>
      <c r="Q299" s="1235"/>
      <c r="R299" s="1235"/>
      <c r="S299" s="41"/>
      <c r="T299" s="41" t="s">
        <v>98</v>
      </c>
      <c r="U299"/>
      <c r="V299" s="41"/>
      <c r="W299" s="41"/>
      <c r="X299" s="41"/>
      <c r="Y299" s="41"/>
      <c r="Z299"/>
      <c r="AA299" s="1235" t="s">
        <v>2495</v>
      </c>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4">
        <v>0.51</v>
      </c>
      <c r="I300" s="1674"/>
      <c r="J300" s="1674"/>
      <c r="K300" s="1674"/>
      <c r="L300" s="1674"/>
      <c r="M300" s="1674"/>
      <c r="N300" s="1674"/>
      <c r="O300" s="1674"/>
      <c r="P300" s="1674"/>
      <c r="Q300" s="1674"/>
      <c r="R300" s="1674"/>
      <c r="S300" s="41"/>
      <c r="T300" s="41" t="s">
        <v>109</v>
      </c>
      <c r="U300" s="41"/>
      <c r="V300" s="41"/>
      <c r="W300" s="41"/>
      <c r="X300" s="41"/>
      <c r="Y300" s="41"/>
      <c r="Z300" s="12"/>
      <c r="AA300" s="1674" t="s">
        <v>2496</v>
      </c>
      <c r="AB300" s="1674"/>
      <c r="AC300" s="1674"/>
      <c r="AD300" s="1674"/>
      <c r="AE300" s="1674"/>
      <c r="AF300" s="1674"/>
      <c r="AG300" s="1674"/>
      <c r="AH300" s="1674"/>
      <c r="AI300" s="1674"/>
      <c r="AJ300" s="1674"/>
      <c r="AK300" s="167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2497</v>
      </c>
      <c r="I302" s="1233"/>
      <c r="J302" s="1233"/>
      <c r="K302" s="1233"/>
      <c r="L302" s="1233"/>
      <c r="M302" s="1233"/>
      <c r="N302" s="1233"/>
      <c r="O302" s="1233"/>
      <c r="P302" s="1233"/>
      <c r="Q302" s="1233"/>
      <c r="R302" s="1233"/>
      <c r="S302"/>
      <c r="T302" s="41" t="s">
        <v>97</v>
      </c>
      <c r="U302"/>
      <c r="V302" s="41"/>
      <c r="W302" s="41"/>
      <c r="X302" s="41"/>
      <c r="Y302" s="41"/>
      <c r="Z302"/>
      <c r="AA302" s="1233" t="s">
        <v>2502</v>
      </c>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5" t="s">
        <v>2498</v>
      </c>
      <c r="I303" s="1235"/>
      <c r="J303" s="1235"/>
      <c r="K303" s="1235"/>
      <c r="L303" s="1235"/>
      <c r="M303" s="1235"/>
      <c r="N303" s="1235"/>
      <c r="O303" s="1235"/>
      <c r="P303" s="1235"/>
      <c r="Q303" s="1235"/>
      <c r="R303" s="1235"/>
      <c r="S303"/>
      <c r="T303" s="41" t="s">
        <v>734</v>
      </c>
      <c r="U303"/>
      <c r="V303" s="41"/>
      <c r="W303" s="41"/>
      <c r="X303" s="41"/>
      <c r="Y303" s="41"/>
      <c r="Z303"/>
      <c r="AA303" s="1235" t="s">
        <v>2503</v>
      </c>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429</v>
      </c>
      <c r="I304" s="1235"/>
      <c r="J304" s="1235"/>
      <c r="K304" s="1235"/>
      <c r="L304" s="1235"/>
      <c r="M304" s="1235"/>
      <c r="N304" s="1235"/>
      <c r="O304" s="1235"/>
      <c r="P304" s="1235"/>
      <c r="Q304" s="1235"/>
      <c r="R304" s="1235"/>
      <c r="S304"/>
      <c r="T304" s="41" t="s">
        <v>107</v>
      </c>
      <c r="U304"/>
      <c r="V304" s="41"/>
      <c r="W304" s="41"/>
      <c r="X304" s="41"/>
      <c r="Y304" s="41"/>
      <c r="Z304"/>
      <c r="AA304" s="1235" t="s">
        <v>429</v>
      </c>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t="s">
        <v>2479</v>
      </c>
      <c r="I305" s="1235"/>
      <c r="J305" s="1235"/>
      <c r="K305" s="1235"/>
      <c r="L305" s="1235"/>
      <c r="M305" s="1235"/>
      <c r="N305" s="1235"/>
      <c r="O305" s="1235"/>
      <c r="P305" s="1235"/>
      <c r="Q305" s="1235"/>
      <c r="R305" s="1235"/>
      <c r="S305"/>
      <c r="T305" s="41" t="s">
        <v>399</v>
      </c>
      <c r="U305"/>
      <c r="V305" s="41"/>
      <c r="W305" s="41"/>
      <c r="X305" s="41"/>
      <c r="Y305" s="41"/>
      <c r="Z305"/>
      <c r="AA305" s="1235" t="s">
        <v>2479</v>
      </c>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07" t="s">
        <v>2499</v>
      </c>
      <c r="I306" s="1407"/>
      <c r="J306" s="1407"/>
      <c r="K306" s="1407"/>
      <c r="L306" s="1407"/>
      <c r="M306" s="1407"/>
      <c r="N306" s="5" t="s">
        <v>858</v>
      </c>
      <c r="O306" s="5"/>
      <c r="P306" s="1401"/>
      <c r="Q306" s="1401"/>
      <c r="R306" s="1401"/>
      <c r="S306" s="41"/>
      <c r="T306" s="41" t="s">
        <v>400</v>
      </c>
      <c r="U306"/>
      <c r="V306" s="41"/>
      <c r="W306" s="41"/>
      <c r="X306" s="41"/>
      <c r="Y306" s="41"/>
      <c r="Z306"/>
      <c r="AA306" s="1407">
        <v>2137426849</v>
      </c>
      <c r="AB306" s="1407"/>
      <c r="AC306" s="1407"/>
      <c r="AD306" s="1407"/>
      <c r="AE306" s="1407"/>
      <c r="AF306" s="1407"/>
      <c r="AG306" s="5" t="s">
        <v>858</v>
      </c>
      <c r="AH306" s="5"/>
      <c r="AI306" s="1401"/>
      <c r="AJ306" s="1401"/>
      <c r="AK306" s="1401"/>
      <c r="AL306" s="10"/>
      <c r="AN306" s="281"/>
    </row>
    <row r="307" spans="2:40" s="4" customFormat="1" ht="12.75" customHeight="1">
      <c r="B307" s="41" t="s">
        <v>96</v>
      </c>
      <c r="C307" s="41"/>
      <c r="D307" s="41"/>
      <c r="E307" s="41"/>
      <c r="F307" s="41"/>
      <c r="G307" s="41"/>
      <c r="H307" s="1235" t="s">
        <v>103</v>
      </c>
      <c r="I307" s="1235"/>
      <c r="J307" s="1235"/>
      <c r="K307" s="1235"/>
      <c r="L307" s="1235"/>
      <c r="M307" s="1235"/>
      <c r="N307" s="1235"/>
      <c r="O307" s="1235"/>
      <c r="P307" s="1235"/>
      <c r="Q307" s="1235"/>
      <c r="R307" s="1235"/>
      <c r="S307" s="41"/>
      <c r="T307" s="41" t="s">
        <v>96</v>
      </c>
      <c r="U307"/>
      <c r="V307" s="41"/>
      <c r="W307" s="41"/>
      <c r="X307" s="41"/>
      <c r="Y307" s="41"/>
      <c r="Z307"/>
      <c r="AA307" s="1235" t="s">
        <v>104</v>
      </c>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t="s">
        <v>2500</v>
      </c>
      <c r="I308" s="1235"/>
      <c r="J308" s="1235"/>
      <c r="K308" s="1235"/>
      <c r="L308" s="1235"/>
      <c r="M308" s="1235"/>
      <c r="N308" s="1235"/>
      <c r="O308" s="1235"/>
      <c r="P308" s="1235"/>
      <c r="Q308" s="1235"/>
      <c r="R308" s="1235"/>
      <c r="S308" s="41"/>
      <c r="T308" s="41" t="s">
        <v>98</v>
      </c>
      <c r="U308"/>
      <c r="V308" s="41"/>
      <c r="W308" s="41"/>
      <c r="X308" s="41"/>
      <c r="Y308" s="41"/>
      <c r="Z308"/>
      <c r="AA308" s="1235" t="s">
        <v>2504</v>
      </c>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4" t="s">
        <v>2501</v>
      </c>
      <c r="I309" s="1674"/>
      <c r="J309" s="1674"/>
      <c r="K309" s="1674"/>
      <c r="L309" s="1674"/>
      <c r="M309" s="1674"/>
      <c r="N309" s="1674"/>
      <c r="O309" s="1674"/>
      <c r="P309" s="1674"/>
      <c r="Q309" s="1674"/>
      <c r="R309" s="1674"/>
      <c r="S309" s="41"/>
      <c r="T309" s="41" t="s">
        <v>109</v>
      </c>
      <c r="U309" s="41"/>
      <c r="V309" s="41"/>
      <c r="W309" s="41"/>
      <c r="X309" s="41"/>
      <c r="Y309" s="41"/>
      <c r="Z309" s="12"/>
      <c r="AA309" s="1674" t="s">
        <v>2505</v>
      </c>
      <c r="AB309" s="1674"/>
      <c r="AC309" s="1674"/>
      <c r="AD309" s="1674"/>
      <c r="AE309" s="1674"/>
      <c r="AF309" s="1674"/>
      <c r="AG309" s="1674"/>
      <c r="AH309" s="1674"/>
      <c r="AI309" s="1674"/>
      <c r="AJ309" s="1674"/>
      <c r="AK309" s="167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t="s">
        <v>2506</v>
      </c>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5" t="s">
        <v>2507</v>
      </c>
      <c r="I312" s="1235"/>
      <c r="J312" s="1235"/>
      <c r="K312" s="1235"/>
      <c r="L312" s="1235"/>
      <c r="M312" s="1235"/>
      <c r="N312" s="1235"/>
      <c r="O312" s="1235"/>
      <c r="P312" s="1235"/>
      <c r="Q312" s="1235"/>
      <c r="R312" s="1235"/>
      <c r="S312"/>
      <c r="T312" s="41" t="s">
        <v>734</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429</v>
      </c>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t="s">
        <v>2479</v>
      </c>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07">
        <v>2137476357</v>
      </c>
      <c r="I315" s="1407"/>
      <c r="J315" s="1407"/>
      <c r="K315" s="1407"/>
      <c r="L315" s="1407"/>
      <c r="M315" s="1407"/>
      <c r="N315" s="5" t="s">
        <v>858</v>
      </c>
      <c r="O315" s="5"/>
      <c r="P315" s="1401"/>
      <c r="Q315" s="1401"/>
      <c r="R315" s="1401"/>
      <c r="S315" s="41"/>
      <c r="T315" s="41" t="s">
        <v>400</v>
      </c>
      <c r="U315"/>
      <c r="V315" s="41"/>
      <c r="W315" s="41"/>
      <c r="X315" s="41"/>
      <c r="Y315" s="41"/>
      <c r="Z315"/>
      <c r="AA315" s="1407"/>
      <c r="AB315" s="1407"/>
      <c r="AC315" s="1407"/>
      <c r="AD315" s="1407"/>
      <c r="AE315" s="1407"/>
      <c r="AF315" s="1407"/>
      <c r="AG315" s="5" t="s">
        <v>858</v>
      </c>
      <c r="AH315" s="5"/>
      <c r="AI315" s="1401"/>
      <c r="AJ315" s="1401"/>
      <c r="AK315" s="1401"/>
      <c r="AL315" s="10"/>
      <c r="AN315" s="281"/>
    </row>
    <row r="316" spans="2:40" s="4" customFormat="1" ht="12.75" customHeight="1">
      <c r="B316" s="41" t="s">
        <v>96</v>
      </c>
      <c r="C316" s="41"/>
      <c r="D316" s="41"/>
      <c r="E316" s="41"/>
      <c r="F316" s="41"/>
      <c r="G316" s="41"/>
      <c r="H316" s="1235" t="s">
        <v>100</v>
      </c>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2508</v>
      </c>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4" t="s">
        <v>2509</v>
      </c>
      <c r="I318" s="1674"/>
      <c r="J318" s="1674"/>
      <c r="K318" s="1674"/>
      <c r="L318" s="1674"/>
      <c r="M318" s="1674"/>
      <c r="N318" s="1674"/>
      <c r="O318" s="1674"/>
      <c r="P318" s="1674"/>
      <c r="Q318" s="1674"/>
      <c r="R318" s="1674"/>
      <c r="S318" s="41"/>
      <c r="T318" s="41" t="s">
        <v>109</v>
      </c>
      <c r="U318" s="41"/>
      <c r="V318" s="41"/>
      <c r="W318" s="41"/>
      <c r="X318" s="41"/>
      <c r="Y318" s="41"/>
      <c r="Z318" s="12"/>
      <c r="AA318" s="1674"/>
      <c r="AB318" s="1674"/>
      <c r="AC318" s="1674"/>
      <c r="AD318" s="1674"/>
      <c r="AE318" s="1674"/>
      <c r="AF318" s="1674"/>
      <c r="AG318" s="1674"/>
      <c r="AH318" s="1674"/>
      <c r="AI318" s="1674"/>
      <c r="AJ318" s="1674"/>
      <c r="AK318" s="167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5"/>
      <c r="I321" s="1235"/>
      <c r="J321" s="1235"/>
      <c r="K321" s="1235"/>
      <c r="L321" s="1235"/>
      <c r="M321" s="1235"/>
      <c r="N321" s="1235"/>
      <c r="O321" s="1235"/>
      <c r="P321" s="1235"/>
      <c r="Q321" s="1235"/>
      <c r="R321" s="1235"/>
      <c r="S321"/>
      <c r="T321" s="41" t="s">
        <v>734</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07"/>
      <c r="I324" s="1407"/>
      <c r="J324" s="1407"/>
      <c r="K324" s="1407"/>
      <c r="L324" s="1407"/>
      <c r="M324" s="1407"/>
      <c r="N324" s="5" t="s">
        <v>858</v>
      </c>
      <c r="O324" s="5"/>
      <c r="P324" s="1401"/>
      <c r="Q324" s="1401"/>
      <c r="R324" s="1401"/>
      <c r="S324" s="41"/>
      <c r="T324" s="41" t="s">
        <v>400</v>
      </c>
      <c r="U324"/>
      <c r="V324" s="41"/>
      <c r="W324" s="41"/>
      <c r="X324" s="41"/>
      <c r="Y324" s="41"/>
      <c r="Z324"/>
      <c r="AA324" s="1407"/>
      <c r="AB324" s="1407"/>
      <c r="AC324" s="1407"/>
      <c r="AD324" s="1407"/>
      <c r="AE324" s="1407"/>
      <c r="AF324" s="1407"/>
      <c r="AG324" s="5" t="s">
        <v>858</v>
      </c>
      <c r="AH324" s="5"/>
      <c r="AI324" s="1401"/>
      <c r="AJ324" s="1401"/>
      <c r="AK324" s="1401"/>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4"/>
      <c r="I327" s="1674"/>
      <c r="J327" s="1674"/>
      <c r="K327" s="1674"/>
      <c r="L327" s="1674"/>
      <c r="M327" s="1674"/>
      <c r="N327" s="1674"/>
      <c r="O327" s="1674"/>
      <c r="P327" s="1674"/>
      <c r="Q327" s="1674"/>
      <c r="R327" s="1674"/>
      <c r="S327" s="41"/>
      <c r="T327" s="41" t="s">
        <v>109</v>
      </c>
      <c r="U327" s="41"/>
      <c r="V327" s="41"/>
      <c r="W327" s="41"/>
      <c r="X327" s="41"/>
      <c r="Y327" s="41"/>
      <c r="Z327" s="12"/>
      <c r="AA327" s="1674"/>
      <c r="AB327" s="1674"/>
      <c r="AC327" s="1674"/>
      <c r="AD327" s="1674"/>
      <c r="AE327" s="1674"/>
      <c r="AF327" s="1674"/>
      <c r="AG327" s="1674"/>
      <c r="AH327" s="1674"/>
      <c r="AI327" s="1674"/>
      <c r="AJ327" s="1674"/>
      <c r="AK327" s="167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6" t="s">
        <v>389</v>
      </c>
      <c r="AF330" s="1816"/>
      <c r="AG330" s="1816"/>
      <c r="AH330" s="1816"/>
      <c r="AI330" s="1816"/>
      <c r="AJ330" s="1816"/>
      <c r="AK330" s="1816"/>
      <c r="AL330" s="3"/>
      <c r="AM330" s="845"/>
      <c r="AN330" s="3"/>
    </row>
    <row r="331" spans="1:76" s="4" customFormat="1" ht="12.75" customHeight="1">
      <c r="A331" s="3"/>
      <c r="B331" s="5"/>
      <c r="C331" s="1715" t="s">
        <v>1921</v>
      </c>
      <c r="D331" s="1715"/>
      <c r="E331" s="1715"/>
      <c r="F331" s="1715"/>
      <c r="G331" s="1715"/>
      <c r="H331" s="1715"/>
      <c r="I331" s="1715"/>
      <c r="J331" s="1715"/>
      <c r="K331" s="1715"/>
      <c r="L331" s="1715"/>
      <c r="M331" s="1715"/>
      <c r="N331" s="1715"/>
      <c r="O331" s="1715"/>
      <c r="P331" s="1715"/>
      <c r="Q331" s="1715"/>
      <c r="R331" s="1715"/>
      <c r="S331" s="1715"/>
      <c r="T331" s="1715"/>
      <c r="U331" s="1715"/>
      <c r="V331" s="1715"/>
      <c r="W331" s="1715"/>
      <c r="X331" s="1715"/>
      <c r="Y331" s="1715"/>
      <c r="Z331" s="1715"/>
      <c r="AA331" s="1715"/>
      <c r="AB331" s="1715"/>
      <c r="AC331" s="1715"/>
      <c r="AD331" s="1715"/>
      <c r="AE331" s="1715"/>
      <c r="AF331" s="1715"/>
      <c r="AG331" s="1715"/>
      <c r="AH331" s="1715"/>
      <c r="AI331" s="1715"/>
      <c r="AJ331" s="1715"/>
      <c r="AM331" s="846"/>
      <c r="AS331" s="803"/>
      <c r="AT331" s="803"/>
      <c r="AU331" s="803"/>
      <c r="AV331" s="803"/>
      <c r="AW331" s="803"/>
      <c r="AX331" s="803"/>
      <c r="AY331" s="803"/>
      <c r="AZ331" s="803"/>
      <c r="BA331" s="803"/>
      <c r="BB331" s="803"/>
      <c r="BC331" s="803"/>
      <c r="BD331" s="803"/>
      <c r="BE331" s="803"/>
      <c r="BF331" s="803"/>
      <c r="BG331" s="803"/>
      <c r="BH331" s="803"/>
      <c r="BI331" s="803"/>
      <c r="BJ331" s="803"/>
      <c r="BK331" s="803"/>
      <c r="BL331" s="803"/>
      <c r="BM331" s="803"/>
      <c r="BN331" s="803"/>
      <c r="BO331" s="803"/>
      <c r="BP331" s="803"/>
      <c r="BQ331" s="803"/>
      <c r="BR331" s="803"/>
      <c r="BS331" s="803"/>
      <c r="BT331" s="803"/>
      <c r="BU331" s="803"/>
      <c r="BV331" s="803"/>
      <c r="BW331" s="803"/>
      <c r="BX331" s="803"/>
    </row>
    <row r="332" spans="1:76" s="4" customFormat="1" ht="12.75" customHeight="1">
      <c r="A332"/>
      <c r="C332" s="1715"/>
      <c r="D332" s="1715"/>
      <c r="E332" s="1715"/>
      <c r="F332" s="1715"/>
      <c r="G332" s="1715"/>
      <c r="H332" s="1715"/>
      <c r="I332" s="1715"/>
      <c r="J332" s="1715"/>
      <c r="K332" s="1715"/>
      <c r="L332" s="1715"/>
      <c r="M332" s="1715"/>
      <c r="N332" s="1715"/>
      <c r="O332" s="1715"/>
      <c r="P332" s="1715"/>
      <c r="Q332" s="1715"/>
      <c r="R332" s="1715"/>
      <c r="S332" s="1715"/>
      <c r="T332" s="1715"/>
      <c r="U332" s="1715"/>
      <c r="V332" s="1715"/>
      <c r="W332" s="1715"/>
      <c r="X332" s="1715"/>
      <c r="Y332" s="1715"/>
      <c r="Z332" s="1715"/>
      <c r="AA332" s="1715"/>
      <c r="AB332" s="1715"/>
      <c r="AC332" s="1715"/>
      <c r="AD332" s="1715"/>
      <c r="AE332" s="1715"/>
      <c r="AF332" s="1715"/>
      <c r="AG332" s="1715"/>
      <c r="AH332" s="1715"/>
      <c r="AI332" s="1715"/>
      <c r="AJ332" s="1715"/>
      <c r="AK332" s="3"/>
      <c r="AL332" s="3"/>
      <c r="AM332" s="27"/>
      <c r="AN332" s="281"/>
      <c r="AR332" s="803"/>
      <c r="AS332" s="803"/>
      <c r="AT332" s="803"/>
      <c r="AU332" s="803"/>
      <c r="AV332" s="803"/>
      <c r="AW332" s="803"/>
      <c r="AX332" s="803"/>
      <c r="AY332" s="803"/>
      <c r="AZ332" s="803"/>
      <c r="BA332" s="803"/>
      <c r="BB332" s="803"/>
      <c r="BC332" s="803"/>
      <c r="BD332" s="803"/>
      <c r="BE332" s="803"/>
      <c r="BF332" s="803"/>
      <c r="BG332" s="803"/>
      <c r="BH332" s="803"/>
      <c r="BI332" s="803"/>
      <c r="BJ332" s="803"/>
      <c r="BK332" s="803"/>
      <c r="BL332" s="803"/>
      <c r="BM332" s="803"/>
      <c r="BN332" s="803"/>
      <c r="BO332" s="803"/>
      <c r="BP332" s="803"/>
      <c r="BQ332" s="803"/>
      <c r="BR332" s="803"/>
      <c r="BS332" s="803"/>
      <c r="BT332" s="803"/>
      <c r="BU332" s="803"/>
      <c r="BV332" s="803"/>
      <c r="BW332" s="803"/>
      <c r="BX332" s="803"/>
    </row>
    <row r="333" spans="1:76" s="4" customFormat="1" ht="12.75" customHeight="1">
      <c r="A333" s="27"/>
      <c r="B333" s="26"/>
      <c r="C333" s="1715"/>
      <c r="D333" s="1715"/>
      <c r="E333" s="1715"/>
      <c r="F333" s="1715"/>
      <c r="G333" s="1715"/>
      <c r="H333" s="1715"/>
      <c r="I333" s="1715"/>
      <c r="J333" s="1715"/>
      <c r="K333" s="1715"/>
      <c r="L333" s="1715"/>
      <c r="M333" s="1715"/>
      <c r="N333" s="1715"/>
      <c r="O333" s="1715"/>
      <c r="P333" s="1715"/>
      <c r="Q333" s="1715"/>
      <c r="R333" s="1715"/>
      <c r="S333" s="1715"/>
      <c r="T333" s="1715"/>
      <c r="U333" s="1715"/>
      <c r="V333" s="1715"/>
      <c r="W333" s="1715"/>
      <c r="X333" s="1715"/>
      <c r="Y333" s="1715"/>
      <c r="Z333" s="1715"/>
      <c r="AA333" s="1715"/>
      <c r="AB333" s="1715"/>
      <c r="AC333" s="1715"/>
      <c r="AD333" s="1715"/>
      <c r="AE333" s="1715"/>
      <c r="AF333" s="1715"/>
      <c r="AG333" s="1715"/>
      <c r="AH333" s="1715"/>
      <c r="AI333" s="1715"/>
      <c r="AJ333" s="1715"/>
      <c r="AK333" s="27"/>
      <c r="AL333" s="27"/>
      <c r="AM333" s="27"/>
      <c r="AN333" s="281"/>
      <c r="AO333" s="185"/>
      <c r="AR333" s="803"/>
      <c r="AS333" s="803"/>
      <c r="AT333" s="803"/>
      <c r="AU333" s="803"/>
      <c r="AV333" s="803"/>
      <c r="AW333" s="803"/>
      <c r="AX333" s="803"/>
      <c r="AY333" s="803"/>
      <c r="AZ333" s="803"/>
      <c r="BA333" s="803"/>
      <c r="BB333" s="803"/>
      <c r="BC333" s="803"/>
      <c r="BD333" s="803"/>
      <c r="BE333" s="803"/>
      <c r="BF333" s="803"/>
      <c r="BG333" s="803"/>
      <c r="BH333" s="803"/>
      <c r="BI333" s="803"/>
      <c r="BJ333" s="803"/>
      <c r="BK333" s="803"/>
      <c r="BL333" s="803"/>
      <c r="BM333" s="803"/>
      <c r="BN333" s="803"/>
      <c r="BO333" s="803"/>
      <c r="BP333" s="803"/>
      <c r="BQ333" s="803"/>
      <c r="BR333" s="803"/>
      <c r="BS333" s="803"/>
      <c r="BT333" s="803"/>
      <c r="BU333" s="803"/>
      <c r="BV333" s="803"/>
      <c r="BW333" s="803"/>
      <c r="BX333" s="803"/>
    </row>
    <row r="334" spans="1:76" s="4" customFormat="1" ht="12.75" customHeight="1">
      <c r="A334" s="27"/>
      <c r="B334" s="26"/>
      <c r="C334" s="1715"/>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K334" s="27"/>
      <c r="AL334" s="27"/>
      <c r="AM334" s="27"/>
      <c r="AN334" s="281"/>
      <c r="AO334" s="185"/>
      <c r="AR334" s="803"/>
      <c r="AS334" s="803"/>
      <c r="AT334" s="803"/>
      <c r="AU334" s="803"/>
      <c r="AV334" s="803"/>
      <c r="AW334" s="803"/>
      <c r="AX334" s="803"/>
      <c r="AY334" s="803"/>
      <c r="AZ334" s="803"/>
      <c r="BA334" s="803"/>
      <c r="BB334" s="803"/>
      <c r="BC334" s="803"/>
      <c r="BD334" s="803"/>
      <c r="BE334" s="803"/>
      <c r="BF334" s="803"/>
      <c r="BG334" s="803"/>
      <c r="BH334" s="803"/>
      <c r="BI334" s="803"/>
      <c r="BJ334" s="803"/>
      <c r="BK334" s="803"/>
      <c r="BL334" s="803"/>
      <c r="BM334" s="803"/>
      <c r="BN334" s="803"/>
      <c r="BO334" s="803"/>
      <c r="BP334" s="803"/>
      <c r="BQ334" s="803"/>
      <c r="BR334" s="803"/>
      <c r="BS334" s="803"/>
      <c r="BT334" s="803"/>
      <c r="BU334" s="803"/>
      <c r="BV334" s="803"/>
      <c r="BW334" s="803"/>
      <c r="BX334" s="803"/>
    </row>
    <row r="335" spans="1:76" s="4" customFormat="1" ht="12.75" customHeight="1">
      <c r="A335" s="27"/>
      <c r="B335" s="26"/>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27"/>
      <c r="AL335" s="27"/>
      <c r="AM335" s="27"/>
      <c r="AN335" s="281"/>
      <c r="AO335" s="185"/>
      <c r="AR335" s="803"/>
      <c r="AS335" s="803"/>
      <c r="AT335" s="803"/>
      <c r="AU335" s="803"/>
      <c r="AV335" s="803"/>
      <c r="AW335" s="803"/>
      <c r="AX335" s="803"/>
      <c r="AY335" s="803"/>
      <c r="AZ335" s="803"/>
      <c r="BA335" s="803"/>
      <c r="BB335" s="803"/>
      <c r="BC335" s="803"/>
      <c r="BD335" s="803"/>
      <c r="BE335" s="803"/>
      <c r="BF335" s="803"/>
      <c r="BG335" s="803"/>
      <c r="BH335" s="803"/>
      <c r="BI335" s="803"/>
      <c r="BJ335" s="803"/>
      <c r="BK335" s="803"/>
      <c r="BL335" s="803"/>
      <c r="BM335" s="803"/>
      <c r="BN335" s="803"/>
      <c r="BO335" s="803"/>
      <c r="BP335" s="803"/>
      <c r="BQ335" s="803"/>
      <c r="BR335" s="803"/>
      <c r="BS335" s="803"/>
      <c r="BT335" s="803"/>
      <c r="BU335" s="803"/>
      <c r="BV335" s="803"/>
      <c r="BW335" s="803"/>
      <c r="BX335" s="803"/>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803"/>
      <c r="AS336" s="803"/>
      <c r="AT336" s="803"/>
      <c r="AU336" s="803"/>
      <c r="AV336" s="803"/>
      <c r="AW336" s="803"/>
      <c r="AX336" s="803"/>
      <c r="AY336" s="803"/>
      <c r="AZ336" s="803"/>
      <c r="BA336" s="803"/>
      <c r="BB336" s="803"/>
      <c r="BC336" s="803"/>
      <c r="BD336" s="803"/>
      <c r="BE336" s="803"/>
      <c r="BF336" s="803"/>
      <c r="BG336" s="803"/>
      <c r="BH336" s="803"/>
      <c r="BI336" s="803"/>
      <c r="BJ336" s="803"/>
      <c r="BK336" s="803"/>
      <c r="BL336" s="803"/>
      <c r="BM336" s="803"/>
      <c r="BN336" s="803"/>
      <c r="BO336" s="803"/>
      <c r="BP336" s="803"/>
      <c r="BQ336" s="803"/>
      <c r="BR336" s="803"/>
      <c r="BS336" s="803"/>
      <c r="BT336" s="803"/>
      <c r="BU336" s="803"/>
      <c r="BV336" s="803"/>
      <c r="BW336" s="803"/>
      <c r="BX336" s="803"/>
    </row>
    <row r="337" spans="1:76" s="4" customFormat="1" ht="12.4"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803"/>
      <c r="AS337" s="803"/>
      <c r="AT337" s="803"/>
      <c r="AU337" s="803"/>
      <c r="AV337" s="803"/>
      <c r="AW337" s="803"/>
      <c r="AX337" s="803"/>
      <c r="AY337" s="803"/>
      <c r="AZ337" s="803"/>
      <c r="BA337" s="803"/>
      <c r="BB337" s="803"/>
      <c r="BC337" s="803"/>
      <c r="BD337" s="803"/>
      <c r="BE337" s="803"/>
      <c r="BF337" s="803"/>
      <c r="BG337" s="803"/>
      <c r="BH337" s="803"/>
      <c r="BI337" s="803"/>
      <c r="BJ337" s="803"/>
      <c r="BK337" s="803"/>
      <c r="BL337" s="803"/>
      <c r="BM337" s="803"/>
      <c r="BN337" s="803"/>
      <c r="BO337" s="803"/>
      <c r="BP337" s="803"/>
      <c r="BQ337" s="803"/>
      <c r="BR337" s="803"/>
      <c r="BS337" s="803"/>
      <c r="BT337" s="803"/>
      <c r="BU337" s="803"/>
      <c r="BV337" s="803"/>
      <c r="BW337" s="803"/>
      <c r="BX337" s="803"/>
    </row>
    <row r="338" spans="1:76" s="4" customFormat="1" ht="12.4"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row>
    <row r="339" spans="1:76" s="4" customFormat="1" ht="12.75" customHeight="1">
      <c r="A339" s="27"/>
      <c r="B339" s="26"/>
      <c r="C339" s="1715" t="s">
        <v>1922</v>
      </c>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row>
    <row r="340" spans="1:76" s="4" customFormat="1" ht="12.7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row>
    <row r="341" spans="1:76" s="4" customFormat="1" ht="12.7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Q341"/>
    </row>
    <row r="342" spans="1:76" s="4" customFormat="1" ht="12.75" customHeight="1">
      <c r="A342" s="27"/>
      <c r="B342" s="26"/>
      <c r="C342" s="1715"/>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c r="AQ342"/>
    </row>
    <row r="343" spans="1:76" s="4" customFormat="1" ht="12.4"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c r="AQ343"/>
      <c r="AR343"/>
    </row>
    <row r="344" spans="1:76" s="4" customFormat="1" ht="12.75" customHeight="1">
      <c r="A344" s="27"/>
      <c r="B344" s="26"/>
      <c r="C344" s="1715" t="s">
        <v>1923</v>
      </c>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c r="AR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R345"/>
    </row>
    <row r="346" spans="1:76" s="4" customFormat="1" ht="12.7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R346"/>
    </row>
    <row r="347" spans="1:76" s="4" customFormat="1" ht="12.75" customHeight="1">
      <c r="A347" s="27"/>
      <c r="B347" s="26"/>
      <c r="C347" s="1715" t="s">
        <v>1924</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Q348"/>
      <c r="AR348"/>
    </row>
    <row r="349" spans="1:76" s="4" customFormat="1" ht="13.1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Q349"/>
      <c r="AR349"/>
    </row>
    <row r="350" spans="1:76" s="4" customFormat="1" ht="12.75" customHeight="1">
      <c r="A350" s="27"/>
      <c r="B350" s="26"/>
      <c r="C350" s="1715"/>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O350" s="170"/>
      <c r="AP350" s="170"/>
      <c r="AQ350"/>
    </row>
    <row r="351" spans="1:76" s="4" customFormat="1" ht="11.8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O351" s="701" t="s">
        <v>943</v>
      </c>
      <c r="AP351" s="71">
        <f>IF(C376="Yes",5,0)</f>
        <v>0</v>
      </c>
      <c r="AS351" s="3" t="s">
        <v>1855</v>
      </c>
    </row>
    <row r="352" spans="1:76" s="4" customFormat="1" ht="12.7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O352" s="701"/>
      <c r="AP352" s="71"/>
      <c r="AS352" s="1700">
        <f>IF(AQ365=0,AQ378,AQ365)</f>
        <v>0</v>
      </c>
      <c r="AT352" s="1700"/>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701" t="s">
        <v>944</v>
      </c>
      <c r="AP353" s="71">
        <f>IF(C386="Yes",5,0)</f>
        <v>0</v>
      </c>
      <c r="AS353" s="3" t="s">
        <v>1888</v>
      </c>
    </row>
    <row r="354" spans="1:46" s="4" customFormat="1" ht="12.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701"/>
      <c r="AP354" s="71"/>
      <c r="AS354" s="1700">
        <f>IF(AND(AQ365&gt;0,AQ378&gt;0),(AQ365+AQ378)/2,0)</f>
        <v>0</v>
      </c>
      <c r="AT354" s="1700"/>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701" t="s">
        <v>950</v>
      </c>
      <c r="AP355" s="71">
        <f>IF(C396="Yes",7,0)</f>
        <v>0</v>
      </c>
    </row>
    <row r="356" spans="1:46" s="4" customFormat="1" ht="12.75" customHeight="1">
      <c r="A356" s="27"/>
      <c r="B356" s="26"/>
      <c r="C356" s="1715" t="s">
        <v>1925</v>
      </c>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281"/>
      <c r="AP356" s="71">
        <f>IF(C398="Yes",5,0)</f>
        <v>0</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281"/>
      <c r="AP357" s="71"/>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701" t="s">
        <v>460</v>
      </c>
      <c r="AP358" s="71">
        <f>IF(C406="Yes",5,0)</f>
        <v>0</v>
      </c>
    </row>
    <row r="359" spans="1:46" s="4" customFormat="1" ht="11.85" customHeight="1">
      <c r="A359" s="27"/>
      <c r="B359" s="26"/>
      <c r="C359" s="1715"/>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IF(C408="Yes",3,0)</f>
        <v>0</v>
      </c>
    </row>
    <row r="360" spans="1:46" s="4" customFormat="1" ht="12.4"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701" t="s">
        <v>182</v>
      </c>
      <c r="AP361" s="71">
        <f>IF(C411="Yes",5,0)</f>
        <v>0</v>
      </c>
    </row>
    <row r="362" spans="1:46" s="4" customFormat="1" ht="12.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701" t="s">
        <v>463</v>
      </c>
      <c r="AP362" s="71">
        <f>IF(C420="Yes",5,0)</f>
        <v>0</v>
      </c>
    </row>
    <row r="363" spans="1:46" s="4" customFormat="1" ht="12.75" customHeight="1">
      <c r="A363" s="27"/>
      <c r="B363" s="26"/>
      <c r="C363" s="1715" t="s">
        <v>1926</v>
      </c>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f>IF(C422="Yes",3,0)</f>
        <v>0</v>
      </c>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702"/>
      <c r="AP364" s="55"/>
    </row>
    <row r="365" spans="1:46" s="4" customFormat="1" ht="68.099999999999994"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703" t="s">
        <v>645</v>
      </c>
      <c r="AP365" s="168">
        <f>SUM(AP351:AP364)</f>
        <v>0</v>
      </c>
      <c r="AQ365" s="1185">
        <f>IF(AP365&gt;0,AP365,0)</f>
        <v>0</v>
      </c>
      <c r="AR365" s="1185"/>
    </row>
    <row r="366" spans="1:46" s="4" customFormat="1" ht="12.4" customHeight="1">
      <c r="A366" s="27"/>
      <c r="B366" s="26"/>
      <c r="C366" s="4" t="s">
        <v>1559</v>
      </c>
      <c r="AF366" s="27"/>
      <c r="AG366" s="27"/>
      <c r="AH366" s="27"/>
      <c r="AI366" s="27"/>
      <c r="AJ366" s="27"/>
      <c r="AK366" s="27"/>
      <c r="AL366" s="27"/>
      <c r="AM366" s="27"/>
      <c r="AN366" s="281"/>
      <c r="AO366" s="701" t="s">
        <v>777</v>
      </c>
      <c r="AP366" s="71">
        <f>IF(C429="Yes",5,0)</f>
        <v>0</v>
      </c>
    </row>
    <row r="367" spans="1:46" s="4" customFormat="1" ht="12.75" customHeight="1">
      <c r="A367" s="27"/>
      <c r="B367" s="26"/>
      <c r="C367" s="704" t="s">
        <v>2028</v>
      </c>
      <c r="D367" s="705"/>
      <c r="E367" s="705"/>
      <c r="F367" s="705"/>
      <c r="G367" s="705"/>
      <c r="H367" s="705"/>
      <c r="I367" s="705"/>
      <c r="J367" s="705"/>
      <c r="K367" s="705"/>
      <c r="L367" s="705"/>
      <c r="M367" s="218"/>
      <c r="N367" s="218"/>
      <c r="O367" s="706"/>
      <c r="P367" s="705"/>
      <c r="Q367" s="705"/>
      <c r="R367" s="218"/>
      <c r="S367" s="218"/>
      <c r="T367" s="705"/>
      <c r="U367" s="1868">
        <f>Application!CQ636-U368</f>
        <v>130</v>
      </c>
      <c r="V367" s="1868"/>
      <c r="W367" s="1868"/>
      <c r="X367" s="705"/>
      <c r="Y367" s="705"/>
      <c r="Z367" s="705"/>
      <c r="AA367" s="707"/>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8" t="s">
        <v>1854</v>
      </c>
      <c r="D368" s="170"/>
      <c r="E368" s="170"/>
      <c r="F368" s="170"/>
      <c r="G368" s="170"/>
      <c r="H368" s="170"/>
      <c r="I368" s="170"/>
      <c r="J368" s="170"/>
      <c r="K368" s="170"/>
      <c r="L368" s="170"/>
      <c r="M368" s="170"/>
      <c r="N368" s="170"/>
      <c r="O368" s="170"/>
      <c r="P368" s="170"/>
      <c r="Q368" s="170"/>
      <c r="R368" s="170"/>
      <c r="S368" s="170"/>
      <c r="T368" s="170"/>
      <c r="U368" s="1869">
        <f>Application!AG720</f>
        <v>0</v>
      </c>
      <c r="V368" s="1869"/>
      <c r="W368" s="1869"/>
      <c r="X368" s="170"/>
      <c r="Y368" s="170"/>
      <c r="Z368" s="170"/>
      <c r="AA368" s="172"/>
      <c r="AC368" s="277"/>
      <c r="AD368" s="277"/>
      <c r="AE368" s="27"/>
      <c r="AF368" s="27"/>
      <c r="AG368" s="27"/>
      <c r="AH368" s="27"/>
      <c r="AI368" s="27"/>
      <c r="AJ368" s="27"/>
      <c r="AK368" s="27"/>
      <c r="AL368" s="27"/>
      <c r="AM368" s="27"/>
      <c r="AN368" s="281"/>
      <c r="AO368" s="701"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1"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9"/>
      <c r="D372" s="710"/>
      <c r="E372" s="711" t="s">
        <v>763</v>
      </c>
      <c r="F372" s="1690" t="s">
        <v>1864</v>
      </c>
      <c r="G372" s="1690"/>
      <c r="H372" s="1690"/>
      <c r="I372" s="1690"/>
      <c r="J372" s="1690"/>
      <c r="K372" s="1690"/>
      <c r="L372" s="1690"/>
      <c r="M372" s="1690"/>
      <c r="N372" s="1690"/>
      <c r="O372" s="1690"/>
      <c r="P372" s="1690"/>
      <c r="Q372" s="1690"/>
      <c r="R372" s="1690"/>
      <c r="S372" s="1690"/>
      <c r="T372" s="1690"/>
      <c r="U372" s="1690"/>
      <c r="V372" s="1690"/>
      <c r="W372" s="1690"/>
      <c r="X372" s="1690"/>
      <c r="Y372" s="1690"/>
      <c r="Z372" s="1690"/>
      <c r="AA372" s="1690"/>
      <c r="AB372" s="1690"/>
      <c r="AC372" s="1690"/>
      <c r="AD372" s="1690"/>
      <c r="AE372" s="1690"/>
      <c r="AF372" s="1690"/>
      <c r="AG372" s="756"/>
      <c r="AH372" s="756"/>
      <c r="AI372" s="756"/>
      <c r="AJ372" s="756"/>
      <c r="AK372" s="756"/>
      <c r="AL372" s="801"/>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2"/>
      <c r="D373" s="5"/>
      <c r="E373" s="225"/>
      <c r="F373" s="1651"/>
      <c r="G373" s="1651"/>
      <c r="H373" s="1651"/>
      <c r="I373" s="1651"/>
      <c r="J373" s="1651"/>
      <c r="K373" s="1651"/>
      <c r="L373" s="1651"/>
      <c r="M373" s="1651"/>
      <c r="N373" s="1651"/>
      <c r="O373" s="1651"/>
      <c r="P373" s="1651"/>
      <c r="Q373" s="1651"/>
      <c r="R373" s="1651"/>
      <c r="S373" s="1651"/>
      <c r="T373" s="1651"/>
      <c r="U373" s="1651"/>
      <c r="V373" s="1651"/>
      <c r="W373" s="1651"/>
      <c r="X373" s="1651"/>
      <c r="Y373" s="1651"/>
      <c r="Z373" s="1651"/>
      <c r="AA373" s="1651"/>
      <c r="AB373" s="1651"/>
      <c r="AC373" s="1651"/>
      <c r="AD373" s="1651"/>
      <c r="AE373" s="1651"/>
      <c r="AF373" s="1651"/>
      <c r="AG373" s="3"/>
      <c r="AH373" s="3"/>
      <c r="AI373" s="3"/>
      <c r="AJ373" s="3"/>
      <c r="AK373" s="3"/>
      <c r="AL373" s="797"/>
      <c r="AM373"/>
      <c r="AN373" s="281"/>
      <c r="AO373" s="701"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2"/>
      <c r="D374" s="5"/>
      <c r="E374" s="225"/>
      <c r="F374" s="1651"/>
      <c r="G374" s="1651"/>
      <c r="H374" s="1651"/>
      <c r="I374" s="1651"/>
      <c r="J374" s="1651"/>
      <c r="K374" s="1651"/>
      <c r="L374" s="1651"/>
      <c r="M374" s="1651"/>
      <c r="N374" s="1651"/>
      <c r="O374" s="1651"/>
      <c r="P374" s="1651"/>
      <c r="Q374" s="1651"/>
      <c r="R374" s="1651"/>
      <c r="S374" s="1651"/>
      <c r="T374" s="1651"/>
      <c r="U374" s="1651"/>
      <c r="V374" s="1651"/>
      <c r="W374" s="1651"/>
      <c r="X374" s="1651"/>
      <c r="Y374" s="1651"/>
      <c r="Z374" s="1651"/>
      <c r="AA374" s="1651"/>
      <c r="AB374" s="1651"/>
      <c r="AC374" s="1651"/>
      <c r="AD374" s="1651"/>
      <c r="AE374" s="1651"/>
      <c r="AF374" s="1651"/>
      <c r="AG374" s="3"/>
      <c r="AH374" s="3"/>
      <c r="AI374" s="3"/>
      <c r="AJ374" s="3"/>
      <c r="AK374" s="3"/>
      <c r="AL374" s="797"/>
      <c r="AM374"/>
      <c r="AN374" s="281"/>
      <c r="AO374" s="701"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2"/>
      <c r="D375" s="5"/>
      <c r="E375" s="225"/>
      <c r="F375" s="1651"/>
      <c r="G375" s="1651"/>
      <c r="H375" s="1651"/>
      <c r="I375" s="1651"/>
      <c r="J375" s="1651"/>
      <c r="K375" s="1651"/>
      <c r="L375" s="1651"/>
      <c r="M375" s="1651"/>
      <c r="N375" s="1651"/>
      <c r="O375" s="1651"/>
      <c r="P375" s="1651"/>
      <c r="Q375" s="1651"/>
      <c r="R375" s="1651"/>
      <c r="S375" s="1651"/>
      <c r="T375" s="1651"/>
      <c r="U375" s="1651"/>
      <c r="V375" s="1651"/>
      <c r="W375" s="1651"/>
      <c r="X375" s="1651"/>
      <c r="Y375" s="1651"/>
      <c r="Z375" s="1651"/>
      <c r="AA375" s="1651"/>
      <c r="AB375" s="1651"/>
      <c r="AC375" s="1651"/>
      <c r="AD375" s="1651"/>
      <c r="AE375" s="1651"/>
      <c r="AF375" s="1651"/>
      <c r="AG375" s="3"/>
      <c r="AH375" s="3"/>
      <c r="AI375" s="3"/>
      <c r="AJ375" s="3"/>
      <c r="AK375" s="3"/>
      <c r="AL375" s="797"/>
      <c r="AM375"/>
      <c r="AN375" s="281"/>
      <c r="AO375" s="701"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6" t="s">
        <v>132</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6" t="s">
        <v>340</v>
      </c>
      <c r="AG376" s="1646"/>
      <c r="AH376" s="1646"/>
      <c r="AI376" s="1646"/>
      <c r="AJ376" s="1646"/>
      <c r="AK376" s="1646"/>
      <c r="AL376" s="1675"/>
      <c r="AM376" s="847"/>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0"/>
      <c r="D377" s="725"/>
      <c r="E377" s="715"/>
      <c r="F377" s="830"/>
      <c r="G377" s="830"/>
      <c r="H377" s="830"/>
      <c r="I377" s="830"/>
      <c r="J377" s="830"/>
      <c r="K377" s="830"/>
      <c r="L377" s="830"/>
      <c r="M377" s="830"/>
      <c r="N377" s="830"/>
      <c r="O377" s="830"/>
      <c r="P377" s="830"/>
      <c r="Q377" s="830"/>
      <c r="R377" s="830"/>
      <c r="S377" s="830"/>
      <c r="T377" s="830"/>
      <c r="U377" s="830"/>
      <c r="V377" s="830"/>
      <c r="W377" s="830"/>
      <c r="X377" s="830"/>
      <c r="Y377" s="830"/>
      <c r="Z377" s="830"/>
      <c r="AA377" s="830"/>
      <c r="AB377" s="830"/>
      <c r="AC377" s="830"/>
      <c r="AD377" s="830"/>
      <c r="AE377" s="798"/>
      <c r="AF377" s="798"/>
      <c r="AG377" s="798"/>
      <c r="AH377" s="798"/>
      <c r="AI377" s="798"/>
      <c r="AJ377" s="798"/>
      <c r="AK377" s="798"/>
      <c r="AL377" s="799"/>
      <c r="AM377"/>
      <c r="AN377" s="281"/>
      <c r="AO377" s="702"/>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9"/>
      <c r="D381" s="710"/>
      <c r="E381" s="711" t="s">
        <v>201</v>
      </c>
      <c r="F381" s="1690" t="s">
        <v>1863</v>
      </c>
      <c r="G381" s="1690"/>
      <c r="H381" s="1690"/>
      <c r="I381" s="1690"/>
      <c r="J381" s="1690"/>
      <c r="K381" s="1690"/>
      <c r="L381" s="1690"/>
      <c r="M381" s="1690"/>
      <c r="N381" s="1690"/>
      <c r="O381" s="1690"/>
      <c r="P381" s="1690"/>
      <c r="Q381" s="1690"/>
      <c r="R381" s="1690"/>
      <c r="S381" s="1690"/>
      <c r="T381" s="1690"/>
      <c r="U381" s="1690"/>
      <c r="V381" s="1690"/>
      <c r="W381" s="1690"/>
      <c r="X381" s="1690"/>
      <c r="Y381" s="1690"/>
      <c r="Z381" s="1690"/>
      <c r="AA381" s="1690"/>
      <c r="AB381" s="1690"/>
      <c r="AC381" s="1690"/>
      <c r="AD381" s="1690"/>
      <c r="AE381" s="1690"/>
      <c r="AF381" s="1690"/>
      <c r="AG381" s="756"/>
      <c r="AH381" s="756"/>
      <c r="AI381" s="756"/>
      <c r="AJ381" s="756"/>
      <c r="AK381" s="756"/>
      <c r="AL381" s="801"/>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7"/>
      <c r="D382" s="21"/>
      <c r="E382" s="194"/>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651"/>
      <c r="AC382" s="1651"/>
      <c r="AD382" s="1651"/>
      <c r="AE382" s="1651"/>
      <c r="AF382" s="1651"/>
      <c r="AG382" s="3"/>
      <c r="AH382" s="3"/>
      <c r="AI382" s="3"/>
      <c r="AJ382" s="3"/>
      <c r="AK382" s="3"/>
      <c r="AL382" s="797"/>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7"/>
      <c r="D383" s="21"/>
      <c r="E383" s="194"/>
      <c r="F383" s="1651"/>
      <c r="G383" s="1651"/>
      <c r="H383" s="1651"/>
      <c r="I383" s="1651"/>
      <c r="J383" s="1651"/>
      <c r="K383" s="1651"/>
      <c r="L383" s="1651"/>
      <c r="M383" s="1651"/>
      <c r="N383" s="1651"/>
      <c r="O383" s="1651"/>
      <c r="P383" s="1651"/>
      <c r="Q383" s="1651"/>
      <c r="R383" s="1651"/>
      <c r="S383" s="1651"/>
      <c r="T383" s="1651"/>
      <c r="U383" s="1651"/>
      <c r="V383" s="1651"/>
      <c r="W383" s="1651"/>
      <c r="X383" s="1651"/>
      <c r="Y383" s="1651"/>
      <c r="Z383" s="1651"/>
      <c r="AA383" s="1651"/>
      <c r="AB383" s="1651"/>
      <c r="AC383" s="1651"/>
      <c r="AD383" s="1651"/>
      <c r="AE383" s="1651"/>
      <c r="AF383" s="1651"/>
      <c r="AG383" s="3"/>
      <c r="AH383" s="3"/>
      <c r="AI383" s="3"/>
      <c r="AJ383" s="3"/>
      <c r="AK383" s="3"/>
      <c r="AL383" s="797"/>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7"/>
      <c r="D384" s="21"/>
      <c r="E384" s="194"/>
      <c r="F384" s="1651"/>
      <c r="G384" s="1651"/>
      <c r="H384" s="1651"/>
      <c r="I384" s="1651"/>
      <c r="J384" s="1651"/>
      <c r="K384" s="1651"/>
      <c r="L384" s="1651"/>
      <c r="M384" s="1651"/>
      <c r="N384" s="1651"/>
      <c r="O384" s="1651"/>
      <c r="P384" s="1651"/>
      <c r="Q384" s="1651"/>
      <c r="R384" s="1651"/>
      <c r="S384" s="1651"/>
      <c r="T384" s="1651"/>
      <c r="U384" s="1651"/>
      <c r="V384" s="1651"/>
      <c r="W384" s="1651"/>
      <c r="X384" s="1651"/>
      <c r="Y384" s="1651"/>
      <c r="Z384" s="1651"/>
      <c r="AA384" s="1651"/>
      <c r="AB384" s="1651"/>
      <c r="AC384" s="1651"/>
      <c r="AD384" s="1651"/>
      <c r="AE384" s="1651"/>
      <c r="AF384" s="1651"/>
      <c r="AG384" s="3"/>
      <c r="AH384" s="3"/>
      <c r="AI384" s="3"/>
      <c r="AJ384" s="3"/>
      <c r="AK384" s="3"/>
      <c r="AL384" s="797"/>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7"/>
      <c r="D385" s="21"/>
      <c r="E385" s="194"/>
      <c r="F385" s="1651"/>
      <c r="G385" s="1651"/>
      <c r="H385" s="1651"/>
      <c r="I385" s="1651"/>
      <c r="J385" s="1651"/>
      <c r="K385" s="1651"/>
      <c r="L385" s="1651"/>
      <c r="M385" s="1651"/>
      <c r="N385" s="1651"/>
      <c r="O385" s="1651"/>
      <c r="P385" s="1651"/>
      <c r="Q385" s="1651"/>
      <c r="R385" s="1651"/>
      <c r="S385" s="1651"/>
      <c r="T385" s="1651"/>
      <c r="U385" s="1651"/>
      <c r="V385" s="1651"/>
      <c r="W385" s="1651"/>
      <c r="X385" s="1651"/>
      <c r="Y385" s="1651"/>
      <c r="Z385" s="1651"/>
      <c r="AA385" s="1651"/>
      <c r="AB385" s="1651"/>
      <c r="AC385" s="1651"/>
      <c r="AD385" s="1651"/>
      <c r="AE385" s="1651"/>
      <c r="AF385" s="1651"/>
      <c r="AL385" s="718"/>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6" t="s">
        <v>132</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6" t="s">
        <v>340</v>
      </c>
      <c r="AG386" s="1646"/>
      <c r="AH386" s="1646"/>
      <c r="AI386" s="1646"/>
      <c r="AJ386" s="1646"/>
      <c r="AK386" s="1646"/>
      <c r="AL386" s="167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0"/>
      <c r="D387" s="725"/>
      <c r="E387" s="715"/>
      <c r="F387" s="830"/>
      <c r="G387" s="830"/>
      <c r="H387" s="830"/>
      <c r="I387" s="830"/>
      <c r="J387" s="830"/>
      <c r="K387" s="830"/>
      <c r="L387" s="830"/>
      <c r="M387" s="830"/>
      <c r="N387" s="830"/>
      <c r="O387" s="830"/>
      <c r="P387" s="830"/>
      <c r="Q387" s="830"/>
      <c r="R387" s="830"/>
      <c r="S387" s="830"/>
      <c r="T387" s="830"/>
      <c r="U387" s="830"/>
      <c r="V387" s="830"/>
      <c r="W387" s="830"/>
      <c r="X387" s="830"/>
      <c r="Y387" s="830"/>
      <c r="Z387" s="830"/>
      <c r="AA387" s="830"/>
      <c r="AB387" s="830"/>
      <c r="AC387" s="830"/>
      <c r="AD387" s="830"/>
      <c r="AE387" s="798"/>
      <c r="AF387" s="798"/>
      <c r="AG387" s="798"/>
      <c r="AH387" s="798"/>
      <c r="AI387" s="798"/>
      <c r="AJ387" s="798"/>
      <c r="AK387" s="798"/>
      <c r="AL387" s="799"/>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6"/>
      <c r="AG388" s="1646"/>
      <c r="AH388" s="1646"/>
      <c r="AI388" s="1646"/>
      <c r="AJ388" s="1646"/>
      <c r="AK388" s="1646"/>
      <c r="AL388" s="164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9"/>
      <c r="D391" s="710"/>
      <c r="E391" s="711" t="s">
        <v>202</v>
      </c>
      <c r="F391" s="1713" t="s">
        <v>2046</v>
      </c>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c r="AA391" s="1713"/>
      <c r="AB391" s="1713"/>
      <c r="AC391" s="1713"/>
      <c r="AD391" s="1713"/>
      <c r="AE391" s="1713"/>
      <c r="AF391" s="1713"/>
      <c r="AG391" s="756"/>
      <c r="AH391" s="756"/>
      <c r="AI391" s="756"/>
      <c r="AJ391" s="756"/>
      <c r="AK391" s="756"/>
      <c r="AL391" s="801"/>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7"/>
      <c r="D392" s="21"/>
      <c r="E392" s="194"/>
      <c r="F392" s="1714"/>
      <c r="G392" s="1714"/>
      <c r="H392" s="1714"/>
      <c r="I392" s="1714"/>
      <c r="J392" s="1714"/>
      <c r="K392" s="1714"/>
      <c r="L392" s="1714"/>
      <c r="M392" s="1714"/>
      <c r="N392" s="1714"/>
      <c r="O392" s="1714"/>
      <c r="P392" s="1714"/>
      <c r="Q392" s="1714"/>
      <c r="R392" s="1714"/>
      <c r="S392" s="1714"/>
      <c r="T392" s="1714"/>
      <c r="U392" s="1714"/>
      <c r="V392" s="1714"/>
      <c r="W392" s="1714"/>
      <c r="X392" s="1714"/>
      <c r="Y392" s="1714"/>
      <c r="Z392" s="1714"/>
      <c r="AA392" s="1714"/>
      <c r="AB392" s="1714"/>
      <c r="AC392" s="1714"/>
      <c r="AD392" s="1714"/>
      <c r="AE392" s="1714"/>
      <c r="AF392" s="1714"/>
      <c r="AG392" s="3"/>
      <c r="AH392" s="3"/>
      <c r="AI392" s="3"/>
      <c r="AJ392" s="3"/>
      <c r="AK392" s="3"/>
      <c r="AL392" s="797"/>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7"/>
      <c r="D393" s="21"/>
      <c r="E393" s="194"/>
      <c r="F393" s="1714"/>
      <c r="G393" s="1714"/>
      <c r="H393" s="1714"/>
      <c r="I393" s="1714"/>
      <c r="J393" s="1714"/>
      <c r="K393" s="1714"/>
      <c r="L393" s="1714"/>
      <c r="M393" s="1714"/>
      <c r="N393" s="1714"/>
      <c r="O393" s="1714"/>
      <c r="P393" s="1714"/>
      <c r="Q393" s="1714"/>
      <c r="R393" s="1714"/>
      <c r="S393" s="1714"/>
      <c r="T393" s="1714"/>
      <c r="U393" s="1714"/>
      <c r="V393" s="1714"/>
      <c r="W393" s="1714"/>
      <c r="X393" s="1714"/>
      <c r="Y393" s="1714"/>
      <c r="Z393" s="1714"/>
      <c r="AA393" s="1714"/>
      <c r="AB393" s="1714"/>
      <c r="AC393" s="1714"/>
      <c r="AD393" s="1714"/>
      <c r="AE393" s="1714"/>
      <c r="AF393" s="1714"/>
      <c r="AG393" s="3"/>
      <c r="AH393" s="3"/>
      <c r="AI393" s="3"/>
      <c r="AJ393" s="3"/>
      <c r="AK393" s="3"/>
      <c r="AL393" s="797"/>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7"/>
      <c r="D394" s="21"/>
      <c r="E394" s="194"/>
      <c r="F394" s="1714"/>
      <c r="G394" s="1714"/>
      <c r="H394" s="1714"/>
      <c r="I394" s="1714"/>
      <c r="J394" s="1714"/>
      <c r="K394" s="1714"/>
      <c r="L394" s="1714"/>
      <c r="M394" s="1714"/>
      <c r="N394" s="1714"/>
      <c r="O394" s="1714"/>
      <c r="P394" s="1714"/>
      <c r="Q394" s="1714"/>
      <c r="R394" s="1714"/>
      <c r="S394" s="1714"/>
      <c r="T394" s="1714"/>
      <c r="U394" s="1714"/>
      <c r="V394" s="1714"/>
      <c r="W394" s="1714"/>
      <c r="X394" s="1714"/>
      <c r="Y394" s="1714"/>
      <c r="Z394" s="1714"/>
      <c r="AA394" s="1714"/>
      <c r="AB394" s="1714"/>
      <c r="AC394" s="1714"/>
      <c r="AD394" s="1714"/>
      <c r="AE394" s="1714"/>
      <c r="AF394" s="1714"/>
      <c r="AG394" s="3"/>
      <c r="AH394" s="3"/>
      <c r="AI394" s="3"/>
      <c r="AJ394" s="3"/>
      <c r="AK394" s="3"/>
      <c r="AL394" s="797"/>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7"/>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97"/>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6" t="s">
        <v>132</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6" t="s">
        <v>1006</v>
      </c>
      <c r="AG396" s="1646"/>
      <c r="AH396" s="1646"/>
      <c r="AI396" s="1646"/>
      <c r="AJ396" s="1646"/>
      <c r="AK396" s="1646"/>
      <c r="AL396" s="1675"/>
      <c r="AM396" s="84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7"/>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8"/>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6" t="s">
        <v>132</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6" t="s">
        <v>340</v>
      </c>
      <c r="AG398" s="1646"/>
      <c r="AH398" s="1646"/>
      <c r="AI398" s="1646"/>
      <c r="AJ398" s="1646"/>
      <c r="AK398" s="1646"/>
      <c r="AL398" s="167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7"/>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8"/>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1"/>
      <c r="D400" s="722"/>
      <c r="E400" s="723"/>
      <c r="F400" s="724" t="s">
        <v>1858</v>
      </c>
      <c r="G400" s="719"/>
      <c r="H400" s="719"/>
      <c r="I400" s="719"/>
      <c r="J400" s="719"/>
      <c r="K400" s="719"/>
      <c r="L400" s="719"/>
      <c r="M400" s="719"/>
      <c r="N400" s="719"/>
      <c r="O400" s="719"/>
      <c r="P400" s="719"/>
      <c r="Q400" s="719"/>
      <c r="R400" s="719"/>
      <c r="S400" s="719"/>
      <c r="T400" s="719"/>
      <c r="U400" s="719"/>
      <c r="V400" s="719"/>
      <c r="W400" s="719"/>
      <c r="X400" s="719"/>
      <c r="Y400" s="719"/>
      <c r="Z400" s="719"/>
      <c r="AA400" s="719"/>
      <c r="AB400" s="719"/>
      <c r="AC400" s="719"/>
      <c r="AD400" s="719"/>
      <c r="AE400" s="725"/>
      <c r="AF400" s="726"/>
      <c r="AG400" s="725"/>
      <c r="AH400" s="727"/>
      <c r="AI400" s="727"/>
      <c r="AJ400" s="727"/>
      <c r="AK400" s="727"/>
      <c r="AL400" s="728"/>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9"/>
      <c r="D402" s="710"/>
      <c r="E402" s="711" t="s">
        <v>203</v>
      </c>
      <c r="F402" s="1690" t="s">
        <v>1862</v>
      </c>
      <c r="G402" s="1690"/>
      <c r="H402" s="1690"/>
      <c r="I402" s="1690"/>
      <c r="J402" s="1690"/>
      <c r="K402" s="1690"/>
      <c r="L402" s="1690"/>
      <c r="M402" s="1690"/>
      <c r="N402" s="1690"/>
      <c r="O402" s="1690"/>
      <c r="P402" s="1690"/>
      <c r="Q402" s="1690"/>
      <c r="R402" s="1690"/>
      <c r="S402" s="1690"/>
      <c r="T402" s="1690"/>
      <c r="U402" s="1690"/>
      <c r="V402" s="1690"/>
      <c r="W402" s="1690"/>
      <c r="X402" s="1690"/>
      <c r="Y402" s="1690"/>
      <c r="Z402" s="1690"/>
      <c r="AA402" s="1690"/>
      <c r="AB402" s="1690"/>
      <c r="AC402" s="1690"/>
      <c r="AD402" s="1690"/>
      <c r="AE402" s="1690"/>
      <c r="AF402" s="1690"/>
      <c r="AG402" s="756"/>
      <c r="AH402" s="756"/>
      <c r="AI402" s="756"/>
      <c r="AJ402" s="756"/>
      <c r="AK402" s="756"/>
      <c r="AL402" s="801"/>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7"/>
      <c r="D403" s="21"/>
      <c r="E403" s="194"/>
      <c r="F403" s="1651"/>
      <c r="G403" s="1651"/>
      <c r="H403" s="1651"/>
      <c r="I403" s="1651"/>
      <c r="J403" s="1651"/>
      <c r="K403" s="1651"/>
      <c r="L403" s="1651"/>
      <c r="M403" s="1651"/>
      <c r="N403" s="1651"/>
      <c r="O403" s="1651"/>
      <c r="P403" s="1651"/>
      <c r="Q403" s="1651"/>
      <c r="R403" s="1651"/>
      <c r="S403" s="1651"/>
      <c r="T403" s="1651"/>
      <c r="U403" s="1651"/>
      <c r="V403" s="1651"/>
      <c r="W403" s="1651"/>
      <c r="X403" s="1651"/>
      <c r="Y403" s="1651"/>
      <c r="Z403" s="1651"/>
      <c r="AA403" s="1651"/>
      <c r="AB403" s="1651"/>
      <c r="AC403" s="1651"/>
      <c r="AD403" s="1651"/>
      <c r="AE403" s="1651"/>
      <c r="AF403" s="1651"/>
      <c r="AG403" s="3"/>
      <c r="AH403" s="3"/>
      <c r="AI403" s="3"/>
      <c r="AJ403" s="3"/>
      <c r="AK403" s="3"/>
      <c r="AL403" s="797"/>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7"/>
      <c r="E404" s="194"/>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651"/>
      <c r="AD404" s="1651"/>
      <c r="AE404" s="1651"/>
      <c r="AF404" s="1651"/>
      <c r="AG404" s="3"/>
      <c r="AH404" s="3"/>
      <c r="AI404" s="3"/>
      <c r="AJ404" s="3"/>
      <c r="AK404" s="3"/>
      <c r="AL404" s="797"/>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7"/>
      <c r="D405" s="21"/>
      <c r="E405" s="194"/>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1651"/>
      <c r="AD405" s="1651"/>
      <c r="AE405" s="1651"/>
      <c r="AF405" s="1651"/>
      <c r="AG405" s="3"/>
      <c r="AH405" s="3"/>
      <c r="AI405" s="3"/>
      <c r="AJ405" s="3"/>
      <c r="AK405" s="3"/>
      <c r="AL405" s="797"/>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6" t="s">
        <v>132</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6" t="s">
        <v>340</v>
      </c>
      <c r="AG406" s="1646"/>
      <c r="AH406" s="1646"/>
      <c r="AI406" s="1646"/>
      <c r="AJ406" s="1646"/>
      <c r="AK406" s="1646"/>
      <c r="AL406" s="167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7"/>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8"/>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6" t="s">
        <v>132</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6" t="s">
        <v>1005</v>
      </c>
      <c r="AG408" s="1646"/>
      <c r="AH408" s="1646"/>
      <c r="AI408" s="1646"/>
      <c r="AJ408" s="1646"/>
      <c r="AK408" s="1646"/>
      <c r="AL408" s="167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9"/>
      <c r="D409" s="727"/>
      <c r="E409" s="715"/>
      <c r="F409" s="727"/>
      <c r="G409" s="716"/>
      <c r="H409" s="716"/>
      <c r="I409" s="716"/>
      <c r="J409" s="716"/>
      <c r="K409" s="716"/>
      <c r="L409" s="716"/>
      <c r="M409" s="716"/>
      <c r="N409" s="716"/>
      <c r="O409" s="716"/>
      <c r="P409" s="716"/>
      <c r="Q409" s="716"/>
      <c r="R409" s="716"/>
      <c r="S409" s="716"/>
      <c r="T409" s="716"/>
      <c r="U409" s="716"/>
      <c r="V409" s="716"/>
      <c r="W409" s="716"/>
      <c r="X409" s="716"/>
      <c r="Y409" s="716"/>
      <c r="Z409" s="716"/>
      <c r="AA409" s="716"/>
      <c r="AB409" s="716"/>
      <c r="AC409" s="716"/>
      <c r="AD409" s="716"/>
      <c r="AE409" s="727"/>
      <c r="AF409" s="727"/>
      <c r="AG409" s="727"/>
      <c r="AH409" s="727"/>
      <c r="AI409" s="727"/>
      <c r="AJ409" s="727"/>
      <c r="AK409" s="727"/>
      <c r="AL409" s="728"/>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6" t="s">
        <v>132</v>
      </c>
      <c r="D411" s="1232"/>
      <c r="E411" s="711" t="s">
        <v>204</v>
      </c>
      <c r="F411" s="1690" t="s">
        <v>1866</v>
      </c>
      <c r="G411" s="1690"/>
      <c r="H411" s="1690"/>
      <c r="I411" s="1690"/>
      <c r="J411" s="1690"/>
      <c r="K411" s="1690"/>
      <c r="L411" s="1690"/>
      <c r="M411" s="1690"/>
      <c r="N411" s="1690"/>
      <c r="O411" s="1690"/>
      <c r="P411" s="1690"/>
      <c r="Q411" s="1690"/>
      <c r="R411" s="1690"/>
      <c r="S411" s="1690"/>
      <c r="T411" s="1690"/>
      <c r="U411" s="1690"/>
      <c r="V411" s="1690"/>
      <c r="W411" s="1690"/>
      <c r="X411" s="1690"/>
      <c r="Y411" s="1690"/>
      <c r="Z411" s="1690"/>
      <c r="AA411" s="1690"/>
      <c r="AB411" s="1690"/>
      <c r="AC411" s="1690"/>
      <c r="AD411" s="1690"/>
      <c r="AE411" s="1690"/>
      <c r="AF411" s="756"/>
      <c r="AG411" s="804"/>
      <c r="AH411" s="710"/>
      <c r="AI411" s="710"/>
      <c r="AJ411" s="710"/>
      <c r="AK411" s="710"/>
      <c r="AL411" s="734"/>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0"/>
      <c r="F412" s="1651"/>
      <c r="G412" s="1651"/>
      <c r="H412" s="1651"/>
      <c r="I412" s="1651"/>
      <c r="J412" s="1651"/>
      <c r="K412" s="1651"/>
      <c r="L412" s="1651"/>
      <c r="M412" s="1651"/>
      <c r="N412" s="1651"/>
      <c r="O412" s="1651"/>
      <c r="P412" s="1651"/>
      <c r="Q412" s="1651"/>
      <c r="R412" s="1651"/>
      <c r="S412" s="1651"/>
      <c r="T412" s="1651"/>
      <c r="U412" s="1651"/>
      <c r="V412" s="1651"/>
      <c r="W412" s="1651"/>
      <c r="X412" s="1651"/>
      <c r="Y412" s="1651"/>
      <c r="Z412" s="1651"/>
      <c r="AA412" s="1651"/>
      <c r="AB412" s="1651"/>
      <c r="AC412" s="1651"/>
      <c r="AD412" s="1651"/>
      <c r="AE412" s="1651"/>
      <c r="AF412" s="1712" t="s">
        <v>340</v>
      </c>
      <c r="AG412" s="1712"/>
      <c r="AH412" s="1712"/>
      <c r="AI412" s="1712"/>
      <c r="AJ412" s="1712"/>
      <c r="AK412" s="1712"/>
      <c r="AL412" s="171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7"/>
      <c r="D413" s="21"/>
      <c r="E413" s="194"/>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L413" s="718"/>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1"/>
      <c r="D414" s="722"/>
      <c r="E414" s="723"/>
      <c r="F414" s="1685"/>
      <c r="G414" s="1685"/>
      <c r="H414" s="1685"/>
      <c r="I414" s="1685"/>
      <c r="J414" s="1685"/>
      <c r="K414" s="1685"/>
      <c r="L414" s="1685"/>
      <c r="M414" s="1685"/>
      <c r="N414" s="1685"/>
      <c r="O414" s="1685"/>
      <c r="P414" s="1685"/>
      <c r="Q414" s="1685"/>
      <c r="R414" s="1685"/>
      <c r="S414" s="1685"/>
      <c r="T414" s="1685"/>
      <c r="U414" s="1685"/>
      <c r="V414" s="1685"/>
      <c r="W414" s="1685"/>
      <c r="X414" s="1685"/>
      <c r="Y414" s="1685"/>
      <c r="Z414" s="1685"/>
      <c r="AA414" s="1685"/>
      <c r="AB414" s="1685"/>
      <c r="AC414" s="1685"/>
      <c r="AD414" s="1685"/>
      <c r="AE414" s="1685"/>
      <c r="AF414" s="726"/>
      <c r="AG414" s="725"/>
      <c r="AH414" s="727"/>
      <c r="AI414" s="727"/>
      <c r="AJ414" s="727"/>
      <c r="AK414" s="727"/>
      <c r="AL414" s="728"/>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0"/>
      <c r="D416" s="731"/>
      <c r="E416" s="711" t="s">
        <v>205</v>
      </c>
      <c r="F416" s="1690" t="s">
        <v>1868</v>
      </c>
      <c r="G416" s="1690"/>
      <c r="H416" s="1690"/>
      <c r="I416" s="1690"/>
      <c r="J416" s="1690"/>
      <c r="K416" s="1690"/>
      <c r="L416" s="1690"/>
      <c r="M416" s="1690"/>
      <c r="N416" s="1690"/>
      <c r="O416" s="1690"/>
      <c r="P416" s="1690"/>
      <c r="Q416" s="1690"/>
      <c r="R416" s="1690"/>
      <c r="S416" s="1690"/>
      <c r="T416" s="1690"/>
      <c r="U416" s="1690"/>
      <c r="V416" s="1690"/>
      <c r="W416" s="1690"/>
      <c r="X416" s="1690"/>
      <c r="Y416" s="1690"/>
      <c r="Z416" s="1690"/>
      <c r="AA416" s="1690"/>
      <c r="AB416" s="1690"/>
      <c r="AC416" s="1690"/>
      <c r="AD416" s="1690"/>
      <c r="AE416" s="1690"/>
      <c r="AF416" s="731"/>
      <c r="AG416" s="731"/>
      <c r="AH416" s="731"/>
      <c r="AI416" s="731"/>
      <c r="AJ416" s="731"/>
      <c r="AK416" s="731"/>
      <c r="AL416" s="732"/>
      <c r="AM416"/>
    </row>
    <row r="417" spans="1:60">
      <c r="A417" s="5"/>
      <c r="C417" s="717"/>
      <c r="E417" s="194"/>
      <c r="F417" s="1651"/>
      <c r="G417" s="1651"/>
      <c r="H417" s="1651"/>
      <c r="I417" s="1651"/>
      <c r="J417" s="1651"/>
      <c r="K417" s="1651"/>
      <c r="L417" s="1651"/>
      <c r="M417" s="1651"/>
      <c r="N417" s="1651"/>
      <c r="O417" s="1651"/>
      <c r="P417" s="1651"/>
      <c r="Q417" s="1651"/>
      <c r="R417" s="1651"/>
      <c r="S417" s="1651"/>
      <c r="T417" s="1651"/>
      <c r="U417" s="1651"/>
      <c r="V417" s="1651"/>
      <c r="W417" s="1651"/>
      <c r="X417" s="1651"/>
      <c r="Y417" s="1651"/>
      <c r="Z417" s="1651"/>
      <c r="AA417" s="1651"/>
      <c r="AB417" s="1651"/>
      <c r="AC417" s="1651"/>
      <c r="AD417" s="1651"/>
      <c r="AE417" s="1651"/>
      <c r="AF417" s="3"/>
      <c r="AG417" s="5"/>
      <c r="AH417" s="4"/>
      <c r="AI417" s="4"/>
      <c r="AJ417" s="4"/>
      <c r="AK417" s="4"/>
      <c r="AL417" s="718"/>
      <c r="AM417"/>
    </row>
    <row r="418" spans="1:60" s="4" customFormat="1" ht="12.75" customHeight="1">
      <c r="A418" s="5"/>
      <c r="B418" s="21"/>
      <c r="C418" s="717"/>
      <c r="D418" s="21"/>
      <c r="E418" s="194"/>
      <c r="F418" s="1651"/>
      <c r="G418" s="1651"/>
      <c r="H418" s="1651"/>
      <c r="I418" s="1651"/>
      <c r="J418" s="1651"/>
      <c r="K418" s="1651"/>
      <c r="L418" s="1651"/>
      <c r="M418" s="1651"/>
      <c r="N418" s="1651"/>
      <c r="O418" s="1651"/>
      <c r="P418" s="1651"/>
      <c r="Q418" s="1651"/>
      <c r="R418" s="1651"/>
      <c r="S418" s="1651"/>
      <c r="T418" s="1651"/>
      <c r="U418" s="1651"/>
      <c r="V418" s="1651"/>
      <c r="W418" s="1651"/>
      <c r="X418" s="1651"/>
      <c r="Y418" s="1651"/>
      <c r="Z418" s="1651"/>
      <c r="AA418" s="1651"/>
      <c r="AB418" s="1651"/>
      <c r="AC418" s="1651"/>
      <c r="AD418" s="1651"/>
      <c r="AE418" s="1651"/>
      <c r="AL418" s="718"/>
      <c r="AM418"/>
      <c r="AN418" s="281"/>
    </row>
    <row r="419" spans="1:60" s="4" customFormat="1" ht="12.75" customHeight="1">
      <c r="A419" s="5"/>
      <c r="B419" s="21"/>
      <c r="C419" s="720"/>
      <c r="F419" s="1651"/>
      <c r="G419" s="1651"/>
      <c r="H419" s="1651"/>
      <c r="I419" s="1651"/>
      <c r="J419" s="1651"/>
      <c r="K419" s="1651"/>
      <c r="L419" s="1651"/>
      <c r="M419" s="1651"/>
      <c r="N419" s="1651"/>
      <c r="O419" s="1651"/>
      <c r="P419" s="1651"/>
      <c r="Q419" s="1651"/>
      <c r="R419" s="1651"/>
      <c r="S419" s="1651"/>
      <c r="T419" s="1651"/>
      <c r="U419" s="1651"/>
      <c r="V419" s="1651"/>
      <c r="W419" s="1651"/>
      <c r="X419" s="1651"/>
      <c r="Y419" s="1651"/>
      <c r="Z419" s="1651"/>
      <c r="AA419" s="1651"/>
      <c r="AB419" s="1651"/>
      <c r="AC419" s="1651"/>
      <c r="AD419" s="1651"/>
      <c r="AE419" s="1651"/>
      <c r="AL419" s="718"/>
      <c r="AM419"/>
      <c r="AN419" s="281"/>
    </row>
    <row r="420" spans="1:60" s="4" customFormat="1" ht="12.75" customHeight="1">
      <c r="A420" s="5"/>
      <c r="B420" s="21"/>
      <c r="C420" s="1676" t="s">
        <v>132</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2" t="s">
        <v>340</v>
      </c>
      <c r="AG420" s="1712"/>
      <c r="AH420" s="1712"/>
      <c r="AI420" s="1712"/>
      <c r="AJ420" s="1712"/>
      <c r="AK420" s="1712"/>
      <c r="AL420" s="1719"/>
      <c r="AM420"/>
      <c r="AN420" s="281"/>
    </row>
    <row r="421" spans="1:60" s="4" customFormat="1" ht="12.75" customHeight="1">
      <c r="A421" s="5"/>
      <c r="B421" s="21"/>
      <c r="C421" s="720"/>
      <c r="AL421" s="718"/>
      <c r="AM421"/>
      <c r="AN421" s="281"/>
    </row>
    <row r="422" spans="1:60" s="4" customFormat="1" ht="12.75" customHeight="1">
      <c r="A422" s="5"/>
      <c r="B422" s="21"/>
      <c r="C422" s="1676"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2" t="s">
        <v>1005</v>
      </c>
      <c r="AG422" s="1712"/>
      <c r="AH422" s="1712"/>
      <c r="AI422" s="1712"/>
      <c r="AJ422" s="1712"/>
      <c r="AK422" s="1712"/>
      <c r="AL422" s="1719"/>
      <c r="AM422"/>
      <c r="AN422" s="281"/>
      <c r="AO422" s="20"/>
      <c r="AP422" s="20"/>
      <c r="BC422" s="21"/>
    </row>
    <row r="423" spans="1:60" s="4" customFormat="1" ht="12.75" customHeight="1">
      <c r="A423" s="5"/>
      <c r="B423" s="21"/>
      <c r="C423" s="721"/>
      <c r="D423" s="722"/>
      <c r="E423" s="723"/>
      <c r="F423" s="733"/>
      <c r="G423" s="716"/>
      <c r="H423" s="716"/>
      <c r="I423" s="716"/>
      <c r="J423" s="716"/>
      <c r="K423" s="716"/>
      <c r="L423" s="716"/>
      <c r="M423" s="716"/>
      <c r="N423" s="716"/>
      <c r="O423" s="716"/>
      <c r="P423" s="716"/>
      <c r="Q423" s="716"/>
      <c r="R423" s="716"/>
      <c r="S423" s="716"/>
      <c r="T423" s="716"/>
      <c r="U423" s="716"/>
      <c r="V423" s="716"/>
      <c r="W423" s="716"/>
      <c r="X423" s="716"/>
      <c r="Y423" s="716"/>
      <c r="Z423" s="716"/>
      <c r="AA423" s="716"/>
      <c r="AB423" s="716"/>
      <c r="AC423" s="716"/>
      <c r="AD423" s="716"/>
      <c r="AE423" s="725"/>
      <c r="AF423" s="726"/>
      <c r="AG423" s="725"/>
      <c r="AH423" s="727"/>
      <c r="AI423" s="727"/>
      <c r="AJ423" s="727"/>
      <c r="AK423" s="727"/>
      <c r="AL423" s="728"/>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9"/>
      <c r="D426" s="710"/>
      <c r="E426" s="711" t="s">
        <v>705</v>
      </c>
      <c r="F426" s="1690" t="s">
        <v>1869</v>
      </c>
      <c r="G426" s="1690"/>
      <c r="H426" s="1690"/>
      <c r="I426" s="1690"/>
      <c r="J426" s="1690"/>
      <c r="K426" s="1690"/>
      <c r="L426" s="1690"/>
      <c r="M426" s="1690"/>
      <c r="N426" s="1690"/>
      <c r="O426" s="1690"/>
      <c r="P426" s="1690"/>
      <c r="Q426" s="1690"/>
      <c r="R426" s="1690"/>
      <c r="S426" s="1690"/>
      <c r="T426" s="1690"/>
      <c r="U426" s="1690"/>
      <c r="V426" s="1690"/>
      <c r="W426" s="1690"/>
      <c r="X426" s="1690"/>
      <c r="Y426" s="1690"/>
      <c r="Z426" s="1690"/>
      <c r="AA426" s="1690"/>
      <c r="AB426" s="1690"/>
      <c r="AC426" s="1690"/>
      <c r="AD426" s="1690"/>
      <c r="AE426" s="1690"/>
      <c r="AF426" s="710"/>
      <c r="AG426" s="710"/>
      <c r="AH426" s="710"/>
      <c r="AI426" s="710"/>
      <c r="AJ426" s="710"/>
      <c r="AK426" s="710"/>
      <c r="AL426" s="734"/>
      <c r="AM426"/>
      <c r="AN426" s="281"/>
    </row>
    <row r="427" spans="1:60" s="4" customFormat="1" ht="12.75" customHeight="1">
      <c r="A427" s="5"/>
      <c r="B427" s="73"/>
      <c r="C427" s="735"/>
      <c r="D427" s="73"/>
      <c r="E427" s="194"/>
      <c r="F427" s="1651"/>
      <c r="G427" s="1651"/>
      <c r="H427" s="1651"/>
      <c r="I427" s="1651"/>
      <c r="J427" s="1651"/>
      <c r="K427" s="1651"/>
      <c r="L427" s="1651"/>
      <c r="M427" s="1651"/>
      <c r="N427" s="1651"/>
      <c r="O427" s="1651"/>
      <c r="P427" s="1651"/>
      <c r="Q427" s="1651"/>
      <c r="R427" s="1651"/>
      <c r="S427" s="1651"/>
      <c r="T427" s="1651"/>
      <c r="U427" s="1651"/>
      <c r="V427" s="1651"/>
      <c r="W427" s="1651"/>
      <c r="X427" s="1651"/>
      <c r="Y427" s="1651"/>
      <c r="Z427" s="1651"/>
      <c r="AA427" s="1651"/>
      <c r="AB427" s="1651"/>
      <c r="AC427" s="1651"/>
      <c r="AD427" s="1651"/>
      <c r="AE427" s="1651"/>
      <c r="AF427" s="3"/>
      <c r="AG427" s="5"/>
      <c r="AL427" s="718"/>
      <c r="AM427"/>
      <c r="AN427" s="281"/>
    </row>
    <row r="428" spans="1:60" s="4" customFormat="1" ht="12.4" customHeight="1">
      <c r="A428" s="5"/>
      <c r="B428" s="73"/>
      <c r="C428" s="735"/>
      <c r="D428" s="73"/>
      <c r="E428" s="194"/>
      <c r="F428" s="1651"/>
      <c r="G428" s="1651"/>
      <c r="H428" s="1651"/>
      <c r="I428" s="1651"/>
      <c r="J428" s="1651"/>
      <c r="K428" s="1651"/>
      <c r="L428" s="1651"/>
      <c r="M428" s="1651"/>
      <c r="N428" s="1651"/>
      <c r="O428" s="1651"/>
      <c r="P428" s="1651"/>
      <c r="Q428" s="1651"/>
      <c r="R428" s="1651"/>
      <c r="S428" s="1651"/>
      <c r="T428" s="1651"/>
      <c r="U428" s="1651"/>
      <c r="V428" s="1651"/>
      <c r="W428" s="1651"/>
      <c r="X428" s="1651"/>
      <c r="Y428" s="1651"/>
      <c r="Z428" s="1651"/>
      <c r="AA428" s="1651"/>
      <c r="AB428" s="1651"/>
      <c r="AC428" s="1651"/>
      <c r="AD428" s="1651"/>
      <c r="AE428" s="1651"/>
      <c r="AL428" s="718"/>
      <c r="AM428"/>
      <c r="AN428" s="281"/>
    </row>
    <row r="429" spans="1:60" s="4" customFormat="1" ht="12.75" customHeight="1">
      <c r="A429" s="5"/>
      <c r="B429" s="73"/>
      <c r="C429" s="1676" t="s">
        <v>132</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2" t="s">
        <v>340</v>
      </c>
      <c r="AG429" s="1712"/>
      <c r="AH429" s="1712"/>
      <c r="AI429" s="1712"/>
      <c r="AJ429" s="1712"/>
      <c r="AK429" s="1712"/>
      <c r="AL429" s="1719"/>
      <c r="AM429"/>
      <c r="AN429" s="281"/>
    </row>
    <row r="430" spans="1:60" s="4" customFormat="1" ht="12.75" customHeight="1">
      <c r="A430" s="5"/>
      <c r="B430" s="73"/>
      <c r="C430" s="849"/>
      <c r="D430" s="742"/>
      <c r="E430" s="715"/>
      <c r="F430" s="733"/>
      <c r="G430" s="716"/>
      <c r="H430" s="716"/>
      <c r="I430" s="716"/>
      <c r="J430" s="716"/>
      <c r="K430" s="716"/>
      <c r="L430" s="716"/>
      <c r="M430" s="716"/>
      <c r="N430" s="716"/>
      <c r="O430" s="716"/>
      <c r="P430" s="716"/>
      <c r="Q430" s="716"/>
      <c r="R430" s="716"/>
      <c r="S430" s="716"/>
      <c r="T430" s="716"/>
      <c r="U430" s="716"/>
      <c r="V430" s="716"/>
      <c r="W430" s="716"/>
      <c r="X430" s="716"/>
      <c r="Y430" s="716"/>
      <c r="Z430" s="716"/>
      <c r="AA430" s="716"/>
      <c r="AB430" s="716"/>
      <c r="AC430" s="716"/>
      <c r="AD430" s="716"/>
      <c r="AE430" s="727"/>
      <c r="AF430" s="744"/>
      <c r="AG430" s="744"/>
      <c r="AH430" s="744"/>
      <c r="AI430" s="744"/>
      <c r="AJ430" s="744"/>
      <c r="AK430" s="744"/>
      <c r="AL430" s="848"/>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0"/>
      <c r="D432" s="731"/>
      <c r="E432" s="711" t="s">
        <v>702</v>
      </c>
      <c r="F432" s="1690" t="s">
        <v>1870</v>
      </c>
      <c r="G432" s="1690"/>
      <c r="H432" s="1690"/>
      <c r="I432" s="1690"/>
      <c r="J432" s="1690"/>
      <c r="K432" s="1690"/>
      <c r="L432" s="1690"/>
      <c r="M432" s="1690"/>
      <c r="N432" s="1690"/>
      <c r="O432" s="1690"/>
      <c r="P432" s="1690"/>
      <c r="Q432" s="1690"/>
      <c r="R432" s="1690"/>
      <c r="S432" s="1690"/>
      <c r="T432" s="1690"/>
      <c r="U432" s="1690"/>
      <c r="V432" s="1690"/>
      <c r="W432" s="1690"/>
      <c r="X432" s="1690"/>
      <c r="Y432" s="1690"/>
      <c r="Z432" s="1690"/>
      <c r="AA432" s="1690"/>
      <c r="AB432" s="1690"/>
      <c r="AC432" s="1690"/>
      <c r="AD432" s="1690"/>
      <c r="AE432" s="1690"/>
      <c r="AF432" s="731"/>
      <c r="AG432" s="731"/>
      <c r="AH432" s="731"/>
      <c r="AI432" s="731"/>
      <c r="AJ432" s="731"/>
      <c r="AK432" s="731"/>
      <c r="AL432" s="732"/>
      <c r="AM432"/>
      <c r="AO432" s="4"/>
      <c r="AP432" s="4"/>
      <c r="BD432" s="21"/>
      <c r="BE432" s="21"/>
      <c r="BF432" s="21"/>
      <c r="BG432" s="21"/>
      <c r="BH432" s="21"/>
    </row>
    <row r="433" spans="1:49">
      <c r="A433" s="5"/>
      <c r="B433" s="73"/>
      <c r="C433" s="735"/>
      <c r="D433" s="73"/>
      <c r="E433" s="194"/>
      <c r="F433" s="1651"/>
      <c r="G433" s="1651"/>
      <c r="H433" s="1651"/>
      <c r="I433" s="1651"/>
      <c r="J433" s="1651"/>
      <c r="K433" s="1651"/>
      <c r="L433" s="1651"/>
      <c r="M433" s="1651"/>
      <c r="N433" s="1651"/>
      <c r="O433" s="1651"/>
      <c r="P433" s="1651"/>
      <c r="Q433" s="1651"/>
      <c r="R433" s="1651"/>
      <c r="S433" s="1651"/>
      <c r="T433" s="1651"/>
      <c r="U433" s="1651"/>
      <c r="V433" s="1651"/>
      <c r="W433" s="1651"/>
      <c r="X433" s="1651"/>
      <c r="Y433" s="1651"/>
      <c r="Z433" s="1651"/>
      <c r="AA433" s="1651"/>
      <c r="AB433" s="1651"/>
      <c r="AC433" s="1651"/>
      <c r="AD433" s="1651"/>
      <c r="AE433" s="1651"/>
      <c r="AF433" s="108"/>
      <c r="AG433" s="108"/>
      <c r="AH433" s="108"/>
      <c r="AI433" s="108"/>
      <c r="AJ433" s="108"/>
      <c r="AK433" s="108"/>
      <c r="AL433" s="800"/>
      <c r="AM433"/>
      <c r="AO433" s="4"/>
      <c r="AP433" s="4"/>
    </row>
    <row r="434" spans="1:49" s="4" customFormat="1" ht="12.75" customHeight="1">
      <c r="A434" s="5"/>
      <c r="B434" s="73"/>
      <c r="C434" s="735"/>
      <c r="D434" s="73"/>
      <c r="E434" s="194"/>
      <c r="F434" s="1651"/>
      <c r="G434" s="1651"/>
      <c r="H434" s="1651"/>
      <c r="I434" s="1651"/>
      <c r="J434" s="1651"/>
      <c r="K434" s="1651"/>
      <c r="L434" s="1651"/>
      <c r="M434" s="1651"/>
      <c r="N434" s="1651"/>
      <c r="O434" s="1651"/>
      <c r="P434" s="1651"/>
      <c r="Q434" s="1651"/>
      <c r="R434" s="1651"/>
      <c r="S434" s="1651"/>
      <c r="T434" s="1651"/>
      <c r="U434" s="1651"/>
      <c r="V434" s="1651"/>
      <c r="W434" s="1651"/>
      <c r="X434" s="1651"/>
      <c r="Y434" s="1651"/>
      <c r="Z434" s="1651"/>
      <c r="AA434" s="1651"/>
      <c r="AB434" s="1651"/>
      <c r="AC434" s="1651"/>
      <c r="AD434" s="1651"/>
      <c r="AE434" s="1651"/>
      <c r="AF434" s="108"/>
      <c r="AG434" s="108"/>
      <c r="AH434" s="108"/>
      <c r="AI434" s="108"/>
      <c r="AJ434" s="108"/>
      <c r="AK434" s="108"/>
      <c r="AL434" s="800"/>
      <c r="AM434"/>
      <c r="AN434" s="281"/>
    </row>
    <row r="435" spans="1:49" s="4" customFormat="1" ht="12.75" customHeight="1">
      <c r="A435" s="5"/>
      <c r="B435" s="73"/>
      <c r="C435" s="736"/>
      <c r="D435" s="1"/>
      <c r="E435" s="225"/>
      <c r="F435" s="1651"/>
      <c r="G435" s="1651"/>
      <c r="H435" s="1651"/>
      <c r="I435" s="1651"/>
      <c r="J435" s="1651"/>
      <c r="K435" s="1651"/>
      <c r="L435" s="1651"/>
      <c r="M435" s="1651"/>
      <c r="N435" s="1651"/>
      <c r="O435" s="1651"/>
      <c r="P435" s="1651"/>
      <c r="Q435" s="1651"/>
      <c r="R435" s="1651"/>
      <c r="S435" s="1651"/>
      <c r="T435" s="1651"/>
      <c r="U435" s="1651"/>
      <c r="V435" s="1651"/>
      <c r="W435" s="1651"/>
      <c r="X435" s="1651"/>
      <c r="Y435" s="1651"/>
      <c r="Z435" s="1651"/>
      <c r="AA435" s="1651"/>
      <c r="AB435" s="1651"/>
      <c r="AC435" s="1651"/>
      <c r="AD435" s="1651"/>
      <c r="AE435" s="1651"/>
      <c r="AF435" s="108"/>
      <c r="AG435" s="108"/>
      <c r="AH435" s="108"/>
      <c r="AI435" s="108"/>
      <c r="AJ435" s="108"/>
      <c r="AK435" s="108"/>
      <c r="AL435" s="800"/>
      <c r="AM435"/>
      <c r="AN435" s="281"/>
      <c r="AO435" s="38"/>
      <c r="AP435" s="21"/>
    </row>
    <row r="436" spans="1:49" s="4" customFormat="1" ht="12.75" customHeight="1">
      <c r="A436" s="5"/>
      <c r="B436" s="73"/>
      <c r="C436" s="736"/>
      <c r="D436" s="1"/>
      <c r="E436" s="225"/>
      <c r="F436" s="1651"/>
      <c r="G436" s="1651"/>
      <c r="H436" s="1651"/>
      <c r="I436" s="1651"/>
      <c r="J436" s="1651"/>
      <c r="K436" s="1651"/>
      <c r="L436" s="1651"/>
      <c r="M436" s="1651"/>
      <c r="N436" s="1651"/>
      <c r="O436" s="1651"/>
      <c r="P436" s="1651"/>
      <c r="Q436" s="1651"/>
      <c r="R436" s="1651"/>
      <c r="S436" s="1651"/>
      <c r="T436" s="1651"/>
      <c r="U436" s="1651"/>
      <c r="V436" s="1651"/>
      <c r="W436" s="1651"/>
      <c r="X436" s="1651"/>
      <c r="Y436" s="1651"/>
      <c r="Z436" s="1651"/>
      <c r="AA436" s="1651"/>
      <c r="AB436" s="1651"/>
      <c r="AC436" s="1651"/>
      <c r="AD436" s="1651"/>
      <c r="AE436" s="1651"/>
      <c r="AF436" s="108"/>
      <c r="AG436" s="108"/>
      <c r="AH436" s="108"/>
      <c r="AI436" s="108"/>
      <c r="AJ436" s="108"/>
      <c r="AK436" s="108"/>
      <c r="AL436" s="800"/>
      <c r="AM436"/>
      <c r="AN436" s="281"/>
    </row>
    <row r="437" spans="1:49" s="4" customFormat="1" ht="12.75" customHeight="1">
      <c r="A437" s="5"/>
      <c r="B437" s="73"/>
      <c r="C437" s="736"/>
      <c r="D437" s="1"/>
      <c r="E437" s="225"/>
      <c r="F437" s="1651"/>
      <c r="G437" s="1651"/>
      <c r="H437" s="1651"/>
      <c r="I437" s="1651"/>
      <c r="J437" s="1651"/>
      <c r="K437" s="1651"/>
      <c r="L437" s="1651"/>
      <c r="M437" s="1651"/>
      <c r="N437" s="1651"/>
      <c r="O437" s="1651"/>
      <c r="P437" s="1651"/>
      <c r="Q437" s="1651"/>
      <c r="R437" s="1651"/>
      <c r="S437" s="1651"/>
      <c r="T437" s="1651"/>
      <c r="U437" s="1651"/>
      <c r="V437" s="1651"/>
      <c r="W437" s="1651"/>
      <c r="X437" s="1651"/>
      <c r="Y437" s="1651"/>
      <c r="Z437" s="1651"/>
      <c r="AA437" s="1651"/>
      <c r="AB437" s="1651"/>
      <c r="AC437" s="1651"/>
      <c r="AD437" s="1651"/>
      <c r="AE437" s="1651"/>
      <c r="AF437" s="108"/>
      <c r="AG437" s="108"/>
      <c r="AH437" s="108"/>
      <c r="AI437" s="108"/>
      <c r="AJ437" s="108"/>
      <c r="AK437" s="108"/>
      <c r="AL437" s="800"/>
      <c r="AM437"/>
      <c r="AN437" s="281"/>
    </row>
    <row r="438" spans="1:49" s="4" customFormat="1" ht="12.75" customHeight="1">
      <c r="A438" s="5"/>
      <c r="B438" s="73"/>
      <c r="C438" s="736"/>
      <c r="D438" s="1"/>
      <c r="E438" s="225"/>
      <c r="F438" s="1651"/>
      <c r="G438" s="1651"/>
      <c r="H438" s="1651"/>
      <c r="I438" s="1651"/>
      <c r="J438" s="1651"/>
      <c r="K438" s="1651"/>
      <c r="L438" s="1651"/>
      <c r="M438" s="1651"/>
      <c r="N438" s="1651"/>
      <c r="O438" s="1651"/>
      <c r="P438" s="1651"/>
      <c r="Q438" s="1651"/>
      <c r="R438" s="1651"/>
      <c r="S438" s="1651"/>
      <c r="T438" s="1651"/>
      <c r="U438" s="1651"/>
      <c r="V438" s="1651"/>
      <c r="W438" s="1651"/>
      <c r="X438" s="1651"/>
      <c r="Y438" s="1651"/>
      <c r="Z438" s="1651"/>
      <c r="AA438" s="1651"/>
      <c r="AB438" s="1651"/>
      <c r="AC438" s="1651"/>
      <c r="AD438" s="1651"/>
      <c r="AE438" s="1651"/>
      <c r="AF438" s="108"/>
      <c r="AG438" s="108"/>
      <c r="AH438" s="108"/>
      <c r="AI438" s="108"/>
      <c r="AJ438" s="108"/>
      <c r="AK438" s="108"/>
      <c r="AL438" s="800"/>
      <c r="AM438"/>
      <c r="AN438" s="281"/>
    </row>
    <row r="439" spans="1:49" s="4" customFormat="1" ht="12.75" customHeight="1">
      <c r="A439" s="5"/>
      <c r="B439" s="73"/>
      <c r="C439" s="736"/>
      <c r="D439" s="1"/>
      <c r="E439" s="225"/>
      <c r="F439" s="1651"/>
      <c r="G439" s="1651"/>
      <c r="H439" s="1651"/>
      <c r="I439" s="1651"/>
      <c r="J439" s="1651"/>
      <c r="K439" s="1651"/>
      <c r="L439" s="1651"/>
      <c r="M439" s="1651"/>
      <c r="N439" s="1651"/>
      <c r="O439" s="1651"/>
      <c r="P439" s="1651"/>
      <c r="Q439" s="1651"/>
      <c r="R439" s="1651"/>
      <c r="S439" s="1651"/>
      <c r="T439" s="1651"/>
      <c r="U439" s="1651"/>
      <c r="V439" s="1651"/>
      <c r="W439" s="1651"/>
      <c r="X439" s="1651"/>
      <c r="Y439" s="1651"/>
      <c r="Z439" s="1651"/>
      <c r="AA439" s="1651"/>
      <c r="AB439" s="1651"/>
      <c r="AC439" s="1651"/>
      <c r="AD439" s="1651"/>
      <c r="AE439" s="1651"/>
      <c r="AF439" s="108"/>
      <c r="AG439" s="108"/>
      <c r="AH439" s="108"/>
      <c r="AI439" s="108"/>
      <c r="AJ439" s="108"/>
      <c r="AK439" s="108"/>
      <c r="AL439" s="800"/>
      <c r="AM439"/>
      <c r="AN439" s="281"/>
    </row>
    <row r="440" spans="1:49" s="4" customFormat="1" ht="17.25" customHeight="1">
      <c r="A440" s="5"/>
      <c r="B440" s="73"/>
      <c r="C440" s="736"/>
      <c r="D440" s="1"/>
      <c r="E440" s="225"/>
      <c r="F440" s="1651"/>
      <c r="G440" s="1651"/>
      <c r="H440" s="1651"/>
      <c r="I440" s="1651"/>
      <c r="J440" s="1651"/>
      <c r="K440" s="1651"/>
      <c r="L440" s="1651"/>
      <c r="M440" s="1651"/>
      <c r="N440" s="1651"/>
      <c r="O440" s="1651"/>
      <c r="P440" s="1651"/>
      <c r="Q440" s="1651"/>
      <c r="R440" s="1651"/>
      <c r="S440" s="1651"/>
      <c r="T440" s="1651"/>
      <c r="U440" s="1651"/>
      <c r="V440" s="1651"/>
      <c r="W440" s="1651"/>
      <c r="X440" s="1651"/>
      <c r="Y440" s="1651"/>
      <c r="Z440" s="1651"/>
      <c r="AA440" s="1651"/>
      <c r="AB440" s="1651"/>
      <c r="AC440" s="1651"/>
      <c r="AD440" s="1651"/>
      <c r="AE440" s="1651"/>
      <c r="AL440" s="718"/>
      <c r="AM440"/>
      <c r="AN440" s="281"/>
    </row>
    <row r="441" spans="1:49" s="4" customFormat="1" ht="12.75" customHeight="1">
      <c r="A441" s="5"/>
      <c r="B441" s="21"/>
      <c r="C441" s="1676" t="s">
        <v>132</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2" t="s">
        <v>340</v>
      </c>
      <c r="AG441" s="1712"/>
      <c r="AH441" s="1712"/>
      <c r="AI441" s="1712"/>
      <c r="AJ441" s="1712"/>
      <c r="AK441" s="1712"/>
      <c r="AL441" s="1719"/>
      <c r="AM441"/>
      <c r="AN441" s="281"/>
    </row>
    <row r="442" spans="1:49" s="4" customFormat="1" ht="12.75" customHeight="1">
      <c r="A442" s="5"/>
      <c r="B442" s="73"/>
      <c r="C442" s="729"/>
      <c r="D442" s="727"/>
      <c r="E442" s="715"/>
      <c r="F442" s="724"/>
      <c r="G442" s="716"/>
      <c r="H442" s="716"/>
      <c r="I442" s="716"/>
      <c r="J442" s="716"/>
      <c r="K442" s="716"/>
      <c r="L442" s="716"/>
      <c r="M442" s="716"/>
      <c r="N442" s="716"/>
      <c r="O442" s="716"/>
      <c r="P442" s="716"/>
      <c r="Q442" s="716"/>
      <c r="R442" s="716"/>
      <c r="S442" s="716"/>
      <c r="T442" s="716"/>
      <c r="U442" s="716"/>
      <c r="V442" s="716"/>
      <c r="W442" s="716"/>
      <c r="X442" s="716"/>
      <c r="Y442" s="716"/>
      <c r="Z442" s="716"/>
      <c r="AA442" s="716"/>
      <c r="AB442" s="716"/>
      <c r="AC442" s="716"/>
      <c r="AD442" s="716"/>
      <c r="AE442" s="727"/>
      <c r="AF442" s="727"/>
      <c r="AG442" s="727"/>
      <c r="AH442" s="727"/>
      <c r="AI442" s="727"/>
      <c r="AJ442" s="727"/>
      <c r="AK442" s="727"/>
      <c r="AL442" s="728"/>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9"/>
      <c r="D444" s="710"/>
      <c r="E444" s="711" t="s">
        <v>703</v>
      </c>
      <c r="F444" s="1690" t="s">
        <v>1873</v>
      </c>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710"/>
      <c r="AG444" s="710"/>
      <c r="AH444" s="710"/>
      <c r="AI444" s="710"/>
      <c r="AJ444" s="710"/>
      <c r="AK444" s="710"/>
      <c r="AL444" s="734"/>
      <c r="AM444"/>
      <c r="AN444" s="281"/>
    </row>
    <row r="445" spans="1:49" s="4" customFormat="1" ht="12.75" customHeight="1">
      <c r="A445" s="5"/>
      <c r="B445" s="73"/>
      <c r="C445" s="736"/>
      <c r="D445" s="1"/>
      <c r="E445" s="225"/>
      <c r="F445" s="1651"/>
      <c r="G445" s="1651"/>
      <c r="H445" s="1651"/>
      <c r="I445" s="1651"/>
      <c r="J445" s="1651"/>
      <c r="K445" s="1651"/>
      <c r="L445" s="1651"/>
      <c r="M445" s="1651"/>
      <c r="N445" s="1651"/>
      <c r="O445" s="1651"/>
      <c r="P445" s="1651"/>
      <c r="Q445" s="1651"/>
      <c r="R445" s="1651"/>
      <c r="S445" s="1651"/>
      <c r="T445" s="1651"/>
      <c r="U445" s="1651"/>
      <c r="V445" s="1651"/>
      <c r="W445" s="1651"/>
      <c r="X445" s="1651"/>
      <c r="Y445" s="1651"/>
      <c r="Z445" s="1651"/>
      <c r="AA445" s="1651"/>
      <c r="AB445" s="1651"/>
      <c r="AC445" s="1651"/>
      <c r="AD445" s="1651"/>
      <c r="AE445" s="1651"/>
      <c r="AF445" s="18"/>
      <c r="AG445" s="18"/>
      <c r="AH445" s="18"/>
      <c r="AI445" s="18"/>
      <c r="AJ445" s="18"/>
      <c r="AK445" s="18"/>
      <c r="AL445" s="797"/>
      <c r="AM445"/>
      <c r="AN445" s="281"/>
    </row>
    <row r="446" spans="1:49" s="4" customFormat="1" ht="12.75" customHeight="1">
      <c r="A446" s="5"/>
      <c r="B446" s="73"/>
      <c r="C446" s="736"/>
      <c r="D446" s="1"/>
      <c r="E446" s="225"/>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8"/>
      <c r="AG446" s="18"/>
      <c r="AH446" s="18"/>
      <c r="AI446" s="18"/>
      <c r="AJ446" s="18"/>
      <c r="AK446" s="18"/>
      <c r="AL446" s="797"/>
      <c r="AM446"/>
      <c r="AN446" s="281"/>
    </row>
    <row r="447" spans="1:49" s="4" customFormat="1" ht="12.75" customHeight="1">
      <c r="A447" s="5"/>
      <c r="B447" s="73"/>
      <c r="C447" s="736"/>
      <c r="D447" s="1"/>
      <c r="E447" s="225"/>
      <c r="F447" s="1651"/>
      <c r="G447" s="1651"/>
      <c r="H447" s="1651"/>
      <c r="I447" s="1651"/>
      <c r="J447" s="1651"/>
      <c r="K447" s="1651"/>
      <c r="L447" s="1651"/>
      <c r="M447" s="1651"/>
      <c r="N447" s="1651"/>
      <c r="O447" s="1651"/>
      <c r="P447" s="1651"/>
      <c r="Q447" s="1651"/>
      <c r="R447" s="1651"/>
      <c r="S447" s="1651"/>
      <c r="T447" s="1651"/>
      <c r="U447" s="1651"/>
      <c r="V447" s="1651"/>
      <c r="W447" s="1651"/>
      <c r="X447" s="1651"/>
      <c r="Y447" s="1651"/>
      <c r="Z447" s="1651"/>
      <c r="AA447" s="1651"/>
      <c r="AB447" s="1651"/>
      <c r="AC447" s="1651"/>
      <c r="AD447" s="1651"/>
      <c r="AE447" s="1651"/>
      <c r="AL447" s="718"/>
      <c r="AM447"/>
      <c r="AN447" s="281"/>
    </row>
    <row r="448" spans="1:49" s="4" customFormat="1" ht="12.75" customHeight="1">
      <c r="A448" s="5"/>
      <c r="B448" s="73"/>
      <c r="C448" s="1676" t="s">
        <v>132</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2" t="s">
        <v>340</v>
      </c>
      <c r="AG448" s="1712"/>
      <c r="AH448" s="1712"/>
      <c r="AI448" s="1712"/>
      <c r="AJ448" s="1712"/>
      <c r="AK448" s="1712"/>
      <c r="AL448" s="1719"/>
      <c r="AM448"/>
      <c r="AN448" s="687"/>
      <c r="AP448" s="21"/>
      <c r="AQ448" s="166"/>
      <c r="AR448" s="166"/>
      <c r="AS448" s="166"/>
      <c r="AT448" s="166"/>
      <c r="AU448" s="166"/>
      <c r="AV448" s="166"/>
      <c r="AW448" s="166"/>
    </row>
    <row r="449" spans="1:54" s="4" customFormat="1" ht="12.75" customHeight="1">
      <c r="A449" s="5"/>
      <c r="B449" s="73"/>
      <c r="C449" s="720"/>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8"/>
      <c r="AM449"/>
      <c r="AN449" s="687"/>
      <c r="AQ449" s="166"/>
      <c r="AR449" s="166"/>
      <c r="AS449" s="166"/>
      <c r="AT449" s="166"/>
      <c r="AU449" s="166"/>
      <c r="AV449" s="166"/>
      <c r="AW449" s="166"/>
    </row>
    <row r="450" spans="1:54" s="4" customFormat="1" ht="12.75" customHeight="1">
      <c r="A450" s="5"/>
      <c r="B450" s="73"/>
      <c r="C450" s="737"/>
      <c r="D450" s="738"/>
      <c r="E450" s="723"/>
      <c r="F450" s="727" t="s">
        <v>1858</v>
      </c>
      <c r="G450" s="719"/>
      <c r="H450" s="719"/>
      <c r="I450" s="719"/>
      <c r="J450" s="719"/>
      <c r="K450" s="719"/>
      <c r="L450" s="719"/>
      <c r="M450" s="719"/>
      <c r="N450" s="719"/>
      <c r="O450" s="719"/>
      <c r="P450" s="719"/>
      <c r="Q450" s="719"/>
      <c r="R450" s="719"/>
      <c r="S450" s="719"/>
      <c r="T450" s="719"/>
      <c r="U450" s="719"/>
      <c r="V450" s="719"/>
      <c r="W450" s="719"/>
      <c r="X450" s="719"/>
      <c r="Y450" s="719"/>
      <c r="Z450" s="719"/>
      <c r="AA450" s="719"/>
      <c r="AB450" s="719"/>
      <c r="AC450" s="719"/>
      <c r="AD450" s="719"/>
      <c r="AE450" s="725"/>
      <c r="AF450" s="726"/>
      <c r="AG450" s="725"/>
      <c r="AH450" s="727"/>
      <c r="AI450" s="727"/>
      <c r="AJ450" s="727"/>
      <c r="AK450" s="727"/>
      <c r="AL450" s="728"/>
      <c r="AM450"/>
      <c r="AN450" s="687"/>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7"/>
      <c r="AQ451" s="166"/>
      <c r="AR451" s="166"/>
      <c r="AS451" s="166"/>
      <c r="AT451" s="166"/>
      <c r="AU451" s="166"/>
      <c r="AV451" s="166"/>
      <c r="AW451" s="166"/>
    </row>
    <row r="452" spans="1:54" s="4" customFormat="1" ht="12.75" customHeight="1">
      <c r="A452" s="5"/>
      <c r="B452" s="73"/>
      <c r="C452" s="1870" t="s">
        <v>132</v>
      </c>
      <c r="D452" s="1871"/>
      <c r="E452" s="711" t="s">
        <v>1010</v>
      </c>
      <c r="F452" s="1690" t="s">
        <v>1012</v>
      </c>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874" t="s">
        <v>340</v>
      </c>
      <c r="AG452" s="1874"/>
      <c r="AH452" s="1874"/>
      <c r="AI452" s="1874"/>
      <c r="AJ452" s="1874"/>
      <c r="AK452" s="1874"/>
      <c r="AL452" s="1875"/>
      <c r="AM452"/>
      <c r="AN452" s="687"/>
      <c r="AQ452" s="166"/>
    </row>
    <row r="453" spans="1:54" s="4" customFormat="1" ht="12.75" customHeight="1">
      <c r="A453" s="5"/>
      <c r="B453" s="73"/>
      <c r="C453" s="736"/>
      <c r="D453" s="1"/>
      <c r="E453" s="225"/>
      <c r="F453" s="1651"/>
      <c r="G453" s="1651"/>
      <c r="H453" s="1651"/>
      <c r="I453" s="1651"/>
      <c r="J453" s="1651"/>
      <c r="K453" s="1651"/>
      <c r="L453" s="1651"/>
      <c r="M453" s="1651"/>
      <c r="N453" s="1651"/>
      <c r="O453" s="1651"/>
      <c r="P453" s="1651"/>
      <c r="Q453" s="1651"/>
      <c r="R453" s="1651"/>
      <c r="S453" s="1651"/>
      <c r="T453" s="1651"/>
      <c r="U453" s="1651"/>
      <c r="V453" s="1651"/>
      <c r="W453" s="1651"/>
      <c r="X453" s="1651"/>
      <c r="Y453" s="1651"/>
      <c r="Z453" s="1651"/>
      <c r="AA453" s="1651"/>
      <c r="AB453" s="1651"/>
      <c r="AC453" s="1651"/>
      <c r="AD453" s="1651"/>
      <c r="AE453" s="1651"/>
      <c r="AF453" s="18"/>
      <c r="AG453" s="18"/>
      <c r="AH453" s="18"/>
      <c r="AI453" s="18"/>
      <c r="AJ453" s="18"/>
      <c r="AK453" s="18"/>
      <c r="AL453" s="797"/>
      <c r="AM453"/>
      <c r="AN453" s="688"/>
      <c r="AO453" s="4" t="s">
        <v>132</v>
      </c>
      <c r="AP453" s="4">
        <v>0</v>
      </c>
      <c r="AQ453" s="166"/>
    </row>
    <row r="454" spans="1:54" s="4" customFormat="1" ht="21.75" customHeight="1">
      <c r="A454" s="5"/>
      <c r="B454" s="73"/>
      <c r="C454" s="713"/>
      <c r="D454" s="714"/>
      <c r="E454" s="715"/>
      <c r="F454" s="1685"/>
      <c r="G454" s="1685"/>
      <c r="H454" s="1685"/>
      <c r="I454" s="1685"/>
      <c r="J454" s="1685"/>
      <c r="K454" s="1685"/>
      <c r="L454" s="1685"/>
      <c r="M454" s="1685"/>
      <c r="N454" s="1685"/>
      <c r="O454" s="1685"/>
      <c r="P454" s="1685"/>
      <c r="Q454" s="1685"/>
      <c r="R454" s="1685"/>
      <c r="S454" s="1685"/>
      <c r="T454" s="1685"/>
      <c r="U454" s="1685"/>
      <c r="V454" s="1685"/>
      <c r="W454" s="1685"/>
      <c r="X454" s="1685"/>
      <c r="Y454" s="1685"/>
      <c r="Z454" s="1685"/>
      <c r="AA454" s="1685"/>
      <c r="AB454" s="1685"/>
      <c r="AC454" s="1685"/>
      <c r="AD454" s="1685"/>
      <c r="AE454" s="1685"/>
      <c r="AF454" s="798"/>
      <c r="AG454" s="798"/>
      <c r="AH454" s="798"/>
      <c r="AI454" s="798"/>
      <c r="AJ454" s="798"/>
      <c r="AK454" s="798"/>
      <c r="AL454" s="799"/>
      <c r="AM454"/>
      <c r="AN454" s="683"/>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3"/>
      <c r="AO455" s="4" t="s">
        <v>1014</v>
      </c>
      <c r="AP455" s="4">
        <v>5</v>
      </c>
      <c r="AQ455" s="166"/>
    </row>
    <row r="456" spans="1:54" s="4" customFormat="1" ht="12.75" customHeight="1">
      <c r="A456" s="5"/>
      <c r="B456" s="21"/>
      <c r="C456" s="1870" t="s">
        <v>132</v>
      </c>
      <c r="D456" s="1871"/>
      <c r="E456" s="711" t="s">
        <v>1011</v>
      </c>
      <c r="F456" s="1690" t="s">
        <v>1910</v>
      </c>
      <c r="G456" s="1690"/>
      <c r="H456" s="1690"/>
      <c r="I456" s="1690"/>
      <c r="J456" s="1690"/>
      <c r="K456" s="1690"/>
      <c r="L456" s="1690"/>
      <c r="M456" s="1690"/>
      <c r="N456" s="1690"/>
      <c r="O456" s="1690"/>
      <c r="P456" s="1690"/>
      <c r="Q456" s="1690"/>
      <c r="R456" s="1690"/>
      <c r="S456" s="1690"/>
      <c r="T456" s="1690"/>
      <c r="U456" s="1690"/>
      <c r="V456" s="1690"/>
      <c r="W456" s="1690"/>
      <c r="X456" s="1690"/>
      <c r="Y456" s="1690"/>
      <c r="Z456" s="1690"/>
      <c r="AA456" s="1690"/>
      <c r="AB456" s="1690"/>
      <c r="AC456" s="1690"/>
      <c r="AD456" s="1690"/>
      <c r="AE456" s="1690"/>
      <c r="AF456" s="1874" t="s">
        <v>340</v>
      </c>
      <c r="AG456" s="1874"/>
      <c r="AH456" s="1874"/>
      <c r="AI456" s="1874"/>
      <c r="AJ456" s="1874"/>
      <c r="AK456" s="1874"/>
      <c r="AL456" s="1875"/>
      <c r="AM456"/>
      <c r="AN456" s="683"/>
      <c r="AO456" s="4" t="s">
        <v>1387</v>
      </c>
      <c r="AP456" s="4">
        <v>5</v>
      </c>
      <c r="AQ456" s="5"/>
    </row>
    <row r="457" spans="1:54" s="4" customFormat="1" ht="12.75" customHeight="1">
      <c r="A457" s="5"/>
      <c r="B457" s="21"/>
      <c r="C457" s="717"/>
      <c r="D457" s="21"/>
      <c r="E457" s="194"/>
      <c r="F457" s="1651"/>
      <c r="G457" s="1651"/>
      <c r="H457" s="1651"/>
      <c r="I457" s="1651"/>
      <c r="J457" s="1651"/>
      <c r="K457" s="1651"/>
      <c r="L457" s="1651"/>
      <c r="M457" s="1651"/>
      <c r="N457" s="1651"/>
      <c r="O457" s="1651"/>
      <c r="P457" s="1651"/>
      <c r="Q457" s="1651"/>
      <c r="R457" s="1651"/>
      <c r="S457" s="1651"/>
      <c r="T457" s="1651"/>
      <c r="U457" s="1651"/>
      <c r="V457" s="1651"/>
      <c r="W457" s="1651"/>
      <c r="X457" s="1651"/>
      <c r="Y457" s="1651"/>
      <c r="Z457" s="1651"/>
      <c r="AA457" s="1651"/>
      <c r="AB457" s="1651"/>
      <c r="AC457" s="1651"/>
      <c r="AD457" s="1651"/>
      <c r="AE457" s="1651"/>
      <c r="AF457" s="3"/>
      <c r="AG457" s="5"/>
      <c r="AL457" s="718"/>
      <c r="AM457"/>
      <c r="AN457" s="683"/>
      <c r="AO457" s="4" t="s">
        <v>1383</v>
      </c>
      <c r="AP457" s="4">
        <v>5</v>
      </c>
    </row>
    <row r="458" spans="1:54" s="4" customFormat="1" ht="12.75" customHeight="1">
      <c r="A458" s="5"/>
      <c r="B458" s="21"/>
      <c r="C458" s="717"/>
      <c r="D458" s="21"/>
      <c r="E458" s="194"/>
      <c r="F458" s="1651"/>
      <c r="G458" s="1651"/>
      <c r="H458" s="1651"/>
      <c r="I458" s="1651"/>
      <c r="J458" s="1651"/>
      <c r="K458" s="1651"/>
      <c r="L458" s="1651"/>
      <c r="M458" s="1651"/>
      <c r="N458" s="1651"/>
      <c r="O458" s="1651"/>
      <c r="P458" s="1651"/>
      <c r="Q458" s="1651"/>
      <c r="R458" s="1651"/>
      <c r="S458" s="1651"/>
      <c r="T458" s="1651"/>
      <c r="U458" s="1651"/>
      <c r="V458" s="1651"/>
      <c r="W458" s="1651"/>
      <c r="X458" s="1651"/>
      <c r="Y458" s="1651"/>
      <c r="Z458" s="1651"/>
      <c r="AA458" s="1651"/>
      <c r="AB458" s="1651"/>
      <c r="AC458" s="1651"/>
      <c r="AD458" s="1651"/>
      <c r="AE458" s="1651"/>
      <c r="AF458" s="3"/>
      <c r="AG458" s="5"/>
      <c r="AL458" s="718"/>
      <c r="AM458"/>
      <c r="AN458" s="683"/>
      <c r="AO458" s="4" t="s">
        <v>1384</v>
      </c>
      <c r="AP458" s="4">
        <v>5</v>
      </c>
    </row>
    <row r="459" spans="1:54" s="4" customFormat="1" ht="4.7" customHeight="1">
      <c r="A459" s="5"/>
      <c r="B459" s="73"/>
      <c r="C459" s="713"/>
      <c r="D459" s="714"/>
      <c r="E459" s="715"/>
      <c r="F459" s="1685"/>
      <c r="G459" s="1685"/>
      <c r="H459" s="1685"/>
      <c r="I459" s="1685"/>
      <c r="J459" s="1685"/>
      <c r="K459" s="1685"/>
      <c r="L459" s="1685"/>
      <c r="M459" s="1685"/>
      <c r="N459" s="1685"/>
      <c r="O459" s="1685"/>
      <c r="P459" s="1685"/>
      <c r="Q459" s="1685"/>
      <c r="R459" s="1685"/>
      <c r="S459" s="1685"/>
      <c r="T459" s="1685"/>
      <c r="U459" s="1685"/>
      <c r="V459" s="1685"/>
      <c r="W459" s="1685"/>
      <c r="X459" s="1685"/>
      <c r="Y459" s="1685"/>
      <c r="Z459" s="1685"/>
      <c r="AA459" s="1685"/>
      <c r="AB459" s="1685"/>
      <c r="AC459" s="1685"/>
      <c r="AD459" s="1685"/>
      <c r="AE459" s="1685"/>
      <c r="AF459" s="798"/>
      <c r="AG459" s="798"/>
      <c r="AH459" s="798"/>
      <c r="AI459" s="798"/>
      <c r="AJ459" s="798"/>
      <c r="AK459" s="798"/>
      <c r="AL459" s="799"/>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9"/>
      <c r="D461" s="710"/>
      <c r="E461" s="711" t="s">
        <v>1009</v>
      </c>
      <c r="F461" s="1690" t="s">
        <v>1911</v>
      </c>
      <c r="G461" s="1690"/>
      <c r="H461" s="1690"/>
      <c r="I461" s="1690"/>
      <c r="J461" s="1690"/>
      <c r="K461" s="1690"/>
      <c r="L461" s="1690"/>
      <c r="M461" s="1690"/>
      <c r="N461" s="1690"/>
      <c r="O461" s="1690"/>
      <c r="P461" s="1690"/>
      <c r="Q461" s="1690"/>
      <c r="R461" s="1690"/>
      <c r="S461" s="1690"/>
      <c r="T461" s="1690"/>
      <c r="U461" s="1690"/>
      <c r="V461" s="1690"/>
      <c r="W461" s="1690"/>
      <c r="X461" s="1690"/>
      <c r="Y461" s="1690"/>
      <c r="Z461" s="1690"/>
      <c r="AA461" s="1690"/>
      <c r="AB461" s="1690"/>
      <c r="AC461" s="1690"/>
      <c r="AD461" s="1690"/>
      <c r="AE461" s="1690"/>
      <c r="AF461" s="1690"/>
      <c r="AG461" s="804"/>
      <c r="AH461" s="710"/>
      <c r="AI461" s="710"/>
      <c r="AJ461" s="710"/>
      <c r="AK461" s="710"/>
      <c r="AL461" s="734"/>
      <c r="AM461"/>
      <c r="AN461" s="281"/>
      <c r="AO461" s="4" t="s">
        <v>1386</v>
      </c>
      <c r="AP461" s="4">
        <v>1</v>
      </c>
    </row>
    <row r="462" spans="1:54" s="4" customFormat="1" ht="12.75" customHeight="1">
      <c r="A462" s="5"/>
      <c r="B462" s="21"/>
      <c r="C462" s="717"/>
      <c r="D462" s="21"/>
      <c r="E462" s="194"/>
      <c r="F462" s="1651"/>
      <c r="G462" s="1651"/>
      <c r="H462" s="1651"/>
      <c r="I462" s="1651"/>
      <c r="J462" s="1651"/>
      <c r="K462" s="1651"/>
      <c r="L462" s="1651"/>
      <c r="M462" s="1651"/>
      <c r="N462" s="1651"/>
      <c r="O462" s="1651"/>
      <c r="P462" s="1651"/>
      <c r="Q462" s="1651"/>
      <c r="R462" s="1651"/>
      <c r="S462" s="1651"/>
      <c r="T462" s="1651"/>
      <c r="U462" s="1651"/>
      <c r="V462" s="1651"/>
      <c r="W462" s="1651"/>
      <c r="X462" s="1651"/>
      <c r="Y462" s="1651"/>
      <c r="Z462" s="1651"/>
      <c r="AA462" s="1651"/>
      <c r="AB462" s="1651"/>
      <c r="AC462" s="1651"/>
      <c r="AD462" s="1651"/>
      <c r="AE462" s="1651"/>
      <c r="AF462" s="1651"/>
      <c r="AL462" s="718"/>
      <c r="AM462"/>
      <c r="AN462" s="281"/>
      <c r="AS462" s="346"/>
      <c r="AW462" s="346" t="s">
        <v>1018</v>
      </c>
      <c r="BA462" s="346" t="s">
        <v>1019</v>
      </c>
    </row>
    <row r="463" spans="1:54" s="4" customFormat="1" ht="12.75" customHeight="1">
      <c r="A463" s="5"/>
      <c r="B463" s="21"/>
      <c r="C463" s="720"/>
      <c r="F463" s="1651"/>
      <c r="G463" s="1651"/>
      <c r="H463" s="1651"/>
      <c r="I463" s="1651"/>
      <c r="J463" s="1651"/>
      <c r="K463" s="1651"/>
      <c r="L463" s="1651"/>
      <c r="M463" s="1651"/>
      <c r="N463" s="1651"/>
      <c r="O463" s="1651"/>
      <c r="P463" s="1651"/>
      <c r="Q463" s="1651"/>
      <c r="R463" s="1651"/>
      <c r="S463" s="1651"/>
      <c r="T463" s="1651"/>
      <c r="U463" s="1651"/>
      <c r="V463" s="1651"/>
      <c r="W463" s="1651"/>
      <c r="X463" s="1651"/>
      <c r="Y463" s="1651"/>
      <c r="Z463" s="1651"/>
      <c r="AA463" s="1651"/>
      <c r="AB463" s="1651"/>
      <c r="AC463" s="1651"/>
      <c r="AD463" s="1651"/>
      <c r="AE463" s="1651"/>
      <c r="AF463" s="1651"/>
      <c r="AL463" s="718"/>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0"/>
      <c r="F464" s="1651"/>
      <c r="G464" s="1651"/>
      <c r="H464" s="1651"/>
      <c r="I464" s="1651"/>
      <c r="J464" s="1651"/>
      <c r="K464" s="1651"/>
      <c r="L464" s="1651"/>
      <c r="M464" s="1651"/>
      <c r="N464" s="1651"/>
      <c r="O464" s="1651"/>
      <c r="P464" s="1651"/>
      <c r="Q464" s="1651"/>
      <c r="R464" s="1651"/>
      <c r="S464" s="1651"/>
      <c r="T464" s="1651"/>
      <c r="U464" s="1651"/>
      <c r="V464" s="1651"/>
      <c r="W464" s="1651"/>
      <c r="X464" s="1651"/>
      <c r="Y464" s="1651"/>
      <c r="Z464" s="1651"/>
      <c r="AA464" s="1651"/>
      <c r="AB464" s="1651"/>
      <c r="AC464" s="1651"/>
      <c r="AD464" s="1651"/>
      <c r="AE464" s="1651"/>
      <c r="AF464" s="1651"/>
      <c r="AL464" s="718"/>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6" t="s">
        <v>132</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6" t="s">
        <v>340</v>
      </c>
      <c r="AG465" s="1646"/>
      <c r="AH465" s="1646"/>
      <c r="AI465" s="1646"/>
      <c r="AJ465" s="1646"/>
      <c r="AK465" s="1646"/>
      <c r="AL465" s="1675"/>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1"/>
      <c r="D466" s="722"/>
      <c r="E466" s="723"/>
      <c r="F466" s="727"/>
      <c r="G466" s="727"/>
      <c r="H466" s="727"/>
      <c r="I466" s="727"/>
      <c r="J466" s="727"/>
      <c r="K466" s="727"/>
      <c r="L466" s="727"/>
      <c r="M466" s="727"/>
      <c r="N466" s="727"/>
      <c r="O466" s="727"/>
      <c r="P466" s="727"/>
      <c r="Q466" s="727"/>
      <c r="R466" s="727"/>
      <c r="S466" s="727"/>
      <c r="T466" s="727"/>
      <c r="U466" s="727"/>
      <c r="V466" s="727"/>
      <c r="W466" s="727"/>
      <c r="X466" s="727"/>
      <c r="Y466" s="727"/>
      <c r="Z466" s="727"/>
      <c r="AA466" s="727"/>
      <c r="AB466" s="727"/>
      <c r="AC466" s="727"/>
      <c r="AD466" s="727"/>
      <c r="AE466" s="727"/>
      <c r="AF466" s="727"/>
      <c r="AG466" s="727"/>
      <c r="AH466" s="727"/>
      <c r="AI466" s="727"/>
      <c r="AJ466" s="727"/>
      <c r="AK466" s="727"/>
      <c r="AL466" s="728"/>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3"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5">
        <f>IF(AS354=0,AS352,AS354)</f>
        <v>0</v>
      </c>
      <c r="AL471" s="1256"/>
      <c r="AM471" s="125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46" t="s">
        <v>1309</v>
      </c>
      <c r="AF474" s="1646"/>
      <c r="AG474" s="1646"/>
      <c r="AH474" s="1646"/>
      <c r="AI474" s="1646"/>
      <c r="AJ474" s="1646"/>
      <c r="AK474" s="1646"/>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9" t="s">
        <v>132</v>
      </c>
      <c r="D480" s="1680"/>
      <c r="E480" s="762" t="s">
        <v>206</v>
      </c>
      <c r="F480" s="1872" t="s">
        <v>1015</v>
      </c>
      <c r="G480" s="1872"/>
      <c r="H480" s="1872"/>
      <c r="I480" s="1872"/>
      <c r="J480" s="1872"/>
      <c r="K480" s="1872"/>
      <c r="L480" s="1872"/>
      <c r="M480" s="1872"/>
      <c r="N480" s="1872"/>
      <c r="O480" s="1872"/>
      <c r="P480" s="1872"/>
      <c r="Q480" s="1872"/>
      <c r="R480" s="1872"/>
      <c r="S480" s="1872"/>
      <c r="T480" s="1872"/>
      <c r="U480" s="1872"/>
      <c r="V480" s="1872"/>
      <c r="W480" s="1872"/>
      <c r="X480" s="1872"/>
      <c r="Y480" s="1872"/>
      <c r="Z480" s="1872"/>
      <c r="AA480" s="1872"/>
      <c r="AB480" s="1872"/>
      <c r="AC480" s="1872"/>
      <c r="AD480" s="1872"/>
      <c r="AE480" s="1872"/>
      <c r="AF480" s="710"/>
      <c r="AG480" s="710"/>
      <c r="AH480" s="710"/>
      <c r="AI480" s="710"/>
      <c r="AJ480" s="710"/>
      <c r="AK480" s="734"/>
      <c r="AN480" s="281"/>
      <c r="AO480" s="4" t="s">
        <v>2009</v>
      </c>
      <c r="AP480" s="4">
        <v>5</v>
      </c>
      <c r="AS480" s="349"/>
      <c r="AT480" s="29"/>
      <c r="AW480" s="120"/>
      <c r="AX480" s="35"/>
    </row>
    <row r="481" spans="1:49" s="4" customFormat="1" ht="12.75" hidden="1" customHeight="1">
      <c r="C481" s="739"/>
      <c r="E481" s="143"/>
      <c r="F481" s="1873"/>
      <c r="G481" s="1873"/>
      <c r="H481" s="1873"/>
      <c r="I481" s="1873"/>
      <c r="J481" s="1873"/>
      <c r="K481" s="1873"/>
      <c r="L481" s="1873"/>
      <c r="M481" s="1873"/>
      <c r="N481" s="1873"/>
      <c r="O481" s="1873"/>
      <c r="P481" s="1873"/>
      <c r="Q481" s="1873"/>
      <c r="R481" s="1873"/>
      <c r="S481" s="1873"/>
      <c r="T481" s="1873"/>
      <c r="U481" s="1873"/>
      <c r="V481" s="1873"/>
      <c r="W481" s="1873"/>
      <c r="X481" s="1873"/>
      <c r="Y481" s="1873"/>
      <c r="Z481" s="1873"/>
      <c r="AA481" s="1873"/>
      <c r="AB481" s="1873"/>
      <c r="AC481" s="1873"/>
      <c r="AD481" s="1873"/>
      <c r="AE481" s="1873"/>
      <c r="AG481" s="19"/>
      <c r="AH481" s="19"/>
      <c r="AI481" s="19"/>
      <c r="AJ481" s="19"/>
      <c r="AK481" s="718"/>
      <c r="AN481" s="281"/>
      <c r="AO481" s="4" t="s">
        <v>1386</v>
      </c>
      <c r="AP481" s="4">
        <v>1</v>
      </c>
    </row>
    <row r="482" spans="1:49" s="4" customFormat="1" ht="12.75" hidden="1" customHeight="1">
      <c r="C482" s="740"/>
      <c r="D482" s="727"/>
      <c r="E482" s="741"/>
      <c r="F482" s="1812" t="s">
        <v>132</v>
      </c>
      <c r="G482" s="1812"/>
      <c r="H482" s="1812"/>
      <c r="I482" s="1812"/>
      <c r="J482" s="1812"/>
      <c r="K482" s="1812"/>
      <c r="L482" s="1812"/>
      <c r="M482" s="1812"/>
      <c r="N482" s="1812"/>
      <c r="O482" s="1812"/>
      <c r="P482" s="1812"/>
      <c r="Q482" s="1812"/>
      <c r="R482" s="1812"/>
      <c r="S482" s="1812"/>
      <c r="T482" s="1812"/>
      <c r="U482" s="1812"/>
      <c r="V482" s="1812"/>
      <c r="W482" s="1812"/>
      <c r="X482" s="1812"/>
      <c r="Y482" s="1812"/>
      <c r="Z482" s="1812"/>
      <c r="AA482" s="742"/>
      <c r="AB482" s="743"/>
      <c r="AC482" s="743"/>
      <c r="AD482" s="727"/>
      <c r="AE482" s="727"/>
      <c r="AF482" s="727"/>
      <c r="AG482" s="744">
        <f>IF($C$480="Yes",(VLOOKUP($F$482,$AO$453:$AP$461,2,FALSE)),0)</f>
        <v>0</v>
      </c>
      <c r="AH482" s="745" t="s">
        <v>1017</v>
      </c>
      <c r="AI482" s="744"/>
      <c r="AJ482" s="744"/>
      <c r="AK482" s="728"/>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70" t="s">
        <v>116</v>
      </c>
      <c r="D484" s="1871"/>
      <c r="E484" s="762" t="s">
        <v>321</v>
      </c>
      <c r="F484" s="746" t="s">
        <v>1391</v>
      </c>
      <c r="G484" s="747"/>
      <c r="H484" s="747"/>
      <c r="I484" s="747"/>
      <c r="J484" s="747"/>
      <c r="K484" s="747"/>
      <c r="L484" s="747"/>
      <c r="M484" s="747"/>
      <c r="N484" s="747"/>
      <c r="O484" s="747"/>
      <c r="P484" s="747"/>
      <c r="Q484" s="747"/>
      <c r="R484" s="747"/>
      <c r="S484" s="747"/>
      <c r="T484" s="747"/>
      <c r="U484" s="747"/>
      <c r="V484" s="747"/>
      <c r="W484" s="747"/>
      <c r="X484" s="747"/>
      <c r="Y484" s="747"/>
      <c r="Z484" s="747"/>
      <c r="AA484" s="747"/>
      <c r="AB484" s="747"/>
      <c r="AC484" s="747"/>
      <c r="AD484" s="710"/>
      <c r="AE484" s="710"/>
      <c r="AF484" s="710"/>
      <c r="AG484" s="747"/>
      <c r="AH484" s="747"/>
      <c r="AI484" s="747"/>
      <c r="AJ484" s="747"/>
      <c r="AK484" s="734"/>
      <c r="AN484" s="281"/>
      <c r="AO484" s="349">
        <v>0.15</v>
      </c>
      <c r="AP484" s="35">
        <v>3</v>
      </c>
    </row>
    <row r="485" spans="1:49" s="4" customFormat="1" ht="12.75" hidden="1" customHeight="1">
      <c r="C485" s="748"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8"/>
      <c r="AN485" s="281"/>
      <c r="AO485" s="349">
        <v>0.2</v>
      </c>
      <c r="AP485" s="35">
        <v>5</v>
      </c>
    </row>
    <row r="486" spans="1:49" s="4" customFormat="1" ht="12.75" hidden="1" customHeight="1">
      <c r="C486" s="736"/>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5"/>
      <c r="AD486" s="90"/>
      <c r="AE486" s="90"/>
      <c r="AF486" s="90"/>
      <c r="AG486" s="257"/>
      <c r="AH486" s="104"/>
      <c r="AI486" s="104"/>
      <c r="AJ486" s="104"/>
      <c r="AK486" s="718"/>
      <c r="AN486" s="298"/>
      <c r="AO486" s="349"/>
      <c r="AP486" s="29"/>
    </row>
    <row r="487" spans="1:49" s="20" customFormat="1" ht="12.75" hidden="1" customHeight="1">
      <c r="A487" s="35"/>
      <c r="B487" s="4"/>
      <c r="C487" s="739"/>
      <c r="D487" s="4"/>
      <c r="E487" s="143"/>
      <c r="F487" s="749" t="s">
        <v>1016</v>
      </c>
      <c r="G487" s="4"/>
      <c r="H487" s="4"/>
      <c r="I487" s="252"/>
      <c r="J487" s="252"/>
      <c r="K487" s="252"/>
      <c r="L487" s="252"/>
      <c r="M487" s="252"/>
      <c r="N487" s="252"/>
      <c r="O487" s="252"/>
      <c r="P487" s="252"/>
      <c r="Q487" s="252"/>
      <c r="R487" s="252"/>
      <c r="S487" s="252"/>
      <c r="T487" s="252"/>
      <c r="U487" s="252"/>
      <c r="V487" s="1687" t="s">
        <v>132</v>
      </c>
      <c r="W487" s="1687"/>
      <c r="X487" s="1687"/>
      <c r="Y487" s="252"/>
      <c r="Z487" s="252"/>
      <c r="AA487" s="252"/>
      <c r="AB487" s="252"/>
      <c r="AC487" s="252"/>
      <c r="AD487" s="90"/>
      <c r="AE487" s="90"/>
      <c r="AF487" s="90"/>
      <c r="AG487" s="104">
        <f>IF(AND($C$484="Yes",$V$489="N/A",$V$494="N/A",$V$498="N/A",$V$500="N/A"),(VLOOKUP(V487,$AR$463:$AS$465,2,FALSE)),0)</f>
        <v>0</v>
      </c>
      <c r="AH487" s="128" t="s">
        <v>1017</v>
      </c>
      <c r="AI487" s="19"/>
      <c r="AJ487" s="19"/>
      <c r="AK487" s="718"/>
      <c r="AL487" s="4"/>
      <c r="AM487" s="4"/>
      <c r="AN487" s="281"/>
    </row>
    <row r="488" spans="1:49" s="20" customFormat="1" ht="12.75" hidden="1" customHeight="1">
      <c r="A488" s="35"/>
      <c r="B488" s="4"/>
      <c r="C488" s="739"/>
      <c r="D488" s="4"/>
      <c r="E488" s="143"/>
      <c r="F488" s="749"/>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8"/>
      <c r="AL488" s="4"/>
      <c r="AM488" s="4"/>
      <c r="AN488" s="281"/>
    </row>
    <row r="489" spans="1:49" s="20" customFormat="1" ht="12.75" hidden="1" customHeight="1">
      <c r="A489" s="35"/>
      <c r="B489" s="4"/>
      <c r="C489" s="739"/>
      <c r="D489" s="4"/>
      <c r="E489" s="143"/>
      <c r="F489" s="749" t="s">
        <v>2023</v>
      </c>
      <c r="G489" s="4"/>
      <c r="H489" s="4"/>
      <c r="I489" s="252"/>
      <c r="J489" s="252"/>
      <c r="K489" s="252"/>
      <c r="L489" s="252"/>
      <c r="M489" s="252"/>
      <c r="N489" s="252"/>
      <c r="O489" s="252"/>
      <c r="P489" s="252"/>
      <c r="Q489" s="252"/>
      <c r="R489" s="252"/>
      <c r="S489" s="252"/>
      <c r="T489" s="252"/>
      <c r="U489" s="252"/>
      <c r="V489" s="1687" t="s">
        <v>132</v>
      </c>
      <c r="W489" s="1687"/>
      <c r="X489" s="1687"/>
      <c r="Y489" s="252"/>
      <c r="Z489" s="252"/>
      <c r="AA489" s="252"/>
      <c r="AB489" s="252"/>
      <c r="AC489" s="252"/>
      <c r="AD489" s="90"/>
      <c r="AE489" s="90"/>
      <c r="AF489" s="90"/>
      <c r="AG489" s="104">
        <f>IF(AND($C$484="Yes",$V$487="N/A", $V$494="N/A",$V$498="N/A",$V$500="N/A"),(VLOOKUP(V489,$AO$463:$AP$465,2,FALSE)),0)</f>
        <v>0</v>
      </c>
      <c r="AH489" s="128" t="s">
        <v>1017</v>
      </c>
      <c r="AI489" s="19"/>
      <c r="AJ489" s="19"/>
      <c r="AK489" s="718"/>
      <c r="AL489" s="4"/>
      <c r="AM489" s="4"/>
      <c r="AN489" s="281"/>
    </row>
    <row r="490" spans="1:49" s="4" customFormat="1" ht="12.75" hidden="1" customHeight="1">
      <c r="C490" s="739"/>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8"/>
      <c r="AN490" s="281"/>
      <c r="AO490" s="4" t="s">
        <v>132</v>
      </c>
      <c r="AP490" s="4">
        <v>0</v>
      </c>
    </row>
    <row r="491" spans="1:49" s="4" customFormat="1" ht="12.75" hidden="1" customHeight="1">
      <c r="C491" s="739"/>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8"/>
      <c r="AN491" s="281"/>
      <c r="AO491" s="4" t="s">
        <v>1393</v>
      </c>
      <c r="AP491" s="35">
        <v>2</v>
      </c>
    </row>
    <row r="492" spans="1:49" s="4" customFormat="1" ht="12.75" hidden="1" customHeight="1">
      <c r="C492" s="739"/>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8"/>
      <c r="AN492" s="281"/>
      <c r="AO492" s="4" t="s">
        <v>1024</v>
      </c>
      <c r="AP492" s="4">
        <v>2</v>
      </c>
    </row>
    <row r="493" spans="1:49" s="20" customFormat="1" ht="12.75" hidden="1" customHeight="1">
      <c r="A493" s="4"/>
      <c r="B493" s="4"/>
      <c r="C493" s="720"/>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8"/>
      <c r="AL493" s="4"/>
      <c r="AM493" s="4"/>
      <c r="AN493" s="298"/>
      <c r="AO493" s="4" t="s">
        <v>1025</v>
      </c>
      <c r="AP493" s="4">
        <v>2</v>
      </c>
    </row>
    <row r="494" spans="1:49" s="4" customFormat="1" ht="12.75" hidden="1" customHeight="1">
      <c r="C494" s="750"/>
      <c r="F494" s="749" t="s">
        <v>1392</v>
      </c>
      <c r="M494" s="143"/>
      <c r="N494" s="143"/>
      <c r="O494" s="143"/>
      <c r="P494" s="143"/>
      <c r="Q494" s="19"/>
      <c r="R494" s="19"/>
      <c r="S494" s="19"/>
      <c r="T494" s="19"/>
      <c r="U494" s="19"/>
      <c r="V494" s="1687" t="s">
        <v>132</v>
      </c>
      <c r="W494" s="1687"/>
      <c r="X494" s="1687"/>
      <c r="Y494" s="19"/>
      <c r="Z494" s="19"/>
      <c r="AA494" s="19"/>
      <c r="AB494" s="19"/>
      <c r="AC494" s="19"/>
      <c r="AG494" s="104">
        <f>IF(AND($C$484="Yes",$V$487="N/A",$V$489="N/A", $V$498="N/A",$V$500="N/A"),(VLOOKUP($V$494,$AO$467:$AP$469,2,FALSE)),0)</f>
        <v>0</v>
      </c>
      <c r="AH494" s="128" t="s">
        <v>1017</v>
      </c>
      <c r="AI494" s="19"/>
      <c r="AJ494" s="19"/>
      <c r="AK494" s="718"/>
      <c r="AN494" s="683"/>
    </row>
    <row r="495" spans="1:49" s="4" customFormat="1" ht="12.75" hidden="1" customHeight="1">
      <c r="C495" s="739"/>
      <c r="M495" s="143"/>
      <c r="N495" s="143"/>
      <c r="O495" s="143"/>
      <c r="P495" s="143"/>
      <c r="Q495" s="19"/>
      <c r="R495" s="19"/>
      <c r="S495" s="19"/>
      <c r="T495" s="19"/>
      <c r="U495" s="19"/>
      <c r="V495" s="19"/>
      <c r="W495" s="19"/>
      <c r="X495" s="19"/>
      <c r="Y495" s="19"/>
      <c r="Z495" s="19"/>
      <c r="AA495" s="19"/>
      <c r="AB495" s="19"/>
      <c r="AC495" s="19"/>
      <c r="AJ495" s="19"/>
      <c r="AK495" s="718"/>
      <c r="AN495" s="689"/>
    </row>
    <row r="496" spans="1:49" s="20" customFormat="1" ht="12.75" hidden="1" customHeight="1">
      <c r="A496" s="4"/>
      <c r="B496" s="4"/>
      <c r="C496" s="753" t="s">
        <v>1273</v>
      </c>
      <c r="D496" s="710"/>
      <c r="E496" s="710"/>
      <c r="F496" s="754" t="s">
        <v>1389</v>
      </c>
      <c r="G496" s="710"/>
      <c r="H496" s="710"/>
      <c r="I496" s="710"/>
      <c r="J496" s="710"/>
      <c r="K496" s="710"/>
      <c r="L496" s="710"/>
      <c r="M496" s="710"/>
      <c r="N496" s="710"/>
      <c r="O496" s="710"/>
      <c r="P496" s="710"/>
      <c r="Q496" s="710"/>
      <c r="R496" s="710"/>
      <c r="S496" s="710"/>
      <c r="T496" s="710"/>
      <c r="U496" s="710"/>
      <c r="V496" s="710"/>
      <c r="W496" s="710"/>
      <c r="X496" s="710"/>
      <c r="Y496" s="710"/>
      <c r="Z496" s="710"/>
      <c r="AA496" s="710"/>
      <c r="AB496" s="710"/>
      <c r="AC496" s="710"/>
      <c r="AD496" s="710"/>
      <c r="AE496" s="710"/>
      <c r="AF496" s="710"/>
      <c r="AG496" s="710"/>
      <c r="AH496" s="710"/>
      <c r="AI496" s="710"/>
      <c r="AJ496" s="710"/>
      <c r="AK496" s="734"/>
      <c r="AL496" s="4"/>
      <c r="AM496" s="4"/>
      <c r="AN496" s="684"/>
      <c r="AO496" s="4" t="s">
        <v>132</v>
      </c>
      <c r="AP496" s="4">
        <v>0</v>
      </c>
      <c r="AQ496" s="3"/>
    </row>
    <row r="497" spans="1:147" s="20" customFormat="1" ht="12.75" hidden="1" customHeight="1">
      <c r="A497" s="4"/>
      <c r="B497" s="4"/>
      <c r="C497" s="751"/>
      <c r="D497" s="1046"/>
      <c r="E497" s="1046"/>
      <c r="F497" s="252" t="s">
        <v>1388</v>
      </c>
      <c r="I497" s="4"/>
      <c r="J497" s="4"/>
      <c r="K497" s="4"/>
      <c r="L497" s="4"/>
      <c r="M497" s="4"/>
      <c r="N497" s="4"/>
      <c r="O497" s="4"/>
      <c r="P497" s="4"/>
      <c r="Q497" s="4"/>
      <c r="R497" s="4"/>
      <c r="S497" s="4"/>
      <c r="T497" s="4"/>
      <c r="U497" s="4"/>
      <c r="Y497" s="4"/>
      <c r="Z497" s="4"/>
      <c r="AA497" s="4"/>
      <c r="AB497" s="4"/>
      <c r="AC497" s="4"/>
      <c r="AD497" s="4"/>
      <c r="AE497" s="4"/>
      <c r="AF497" s="4"/>
      <c r="AK497" s="718"/>
      <c r="AL497" s="4"/>
      <c r="AM497" s="4"/>
      <c r="AN497" s="684"/>
      <c r="AO497" s="4" t="s">
        <v>1399</v>
      </c>
      <c r="AP497" s="35">
        <v>5</v>
      </c>
      <c r="AQ497" s="3"/>
    </row>
    <row r="498" spans="1:147" customFormat="1" ht="12.75" hidden="1" customHeight="1">
      <c r="A498" s="120"/>
      <c r="B498" s="4"/>
      <c r="C498" s="739"/>
      <c r="D498" s="4"/>
      <c r="E498" s="4"/>
      <c r="F498" s="576" t="s">
        <v>1016</v>
      </c>
      <c r="G498" s="4"/>
      <c r="H498" s="4"/>
      <c r="I498" s="4"/>
      <c r="J498" s="4"/>
      <c r="K498" s="4"/>
      <c r="L498" s="4"/>
      <c r="M498" s="4"/>
      <c r="N498" s="4"/>
      <c r="O498" s="4"/>
      <c r="P498" s="4"/>
      <c r="Q498" s="4"/>
      <c r="R498" s="4"/>
      <c r="S498" s="4"/>
      <c r="T498" s="4"/>
      <c r="U498" s="4"/>
      <c r="V498" s="1687" t="s">
        <v>132</v>
      </c>
      <c r="W498" s="1687"/>
      <c r="X498" s="1687"/>
      <c r="Y498" s="4"/>
      <c r="Z498" s="4"/>
      <c r="AA498" s="4"/>
      <c r="AB498" s="4"/>
      <c r="AC498" s="4"/>
      <c r="AD498" s="4"/>
      <c r="AE498" s="4"/>
      <c r="AF498" s="4"/>
      <c r="AG498" s="104">
        <f>IF(AND($C$484="Yes",$V$487="N/A",V489="N/A",$V$494="N/A",$V$500="N/A"),(VLOOKUP($V$498,$AW$463:$AX$466,2,FALSE)),0)</f>
        <v>0</v>
      </c>
      <c r="AH498" s="128" t="s">
        <v>1017</v>
      </c>
      <c r="AI498" s="19"/>
      <c r="AJ498" s="4"/>
      <c r="AK498" s="718"/>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9"/>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8"/>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0"/>
      <c r="D500" s="727"/>
      <c r="E500" s="727"/>
      <c r="F500" s="749" t="s">
        <v>2023</v>
      </c>
      <c r="G500" s="742"/>
      <c r="H500" s="742"/>
      <c r="I500" s="727"/>
      <c r="J500" s="727"/>
      <c r="K500" s="727"/>
      <c r="L500" s="727"/>
      <c r="M500" s="727"/>
      <c r="N500" s="727"/>
      <c r="O500" s="727"/>
      <c r="P500" s="727"/>
      <c r="Q500" s="727"/>
      <c r="R500" s="727"/>
      <c r="S500" s="727"/>
      <c r="T500" s="727"/>
      <c r="U500" s="727"/>
      <c r="V500" s="1687" t="s">
        <v>132</v>
      </c>
      <c r="W500" s="1687"/>
      <c r="X500" s="1687"/>
      <c r="Y500" s="727"/>
      <c r="Z500" s="727"/>
      <c r="AA500" s="727"/>
      <c r="AB500" s="727"/>
      <c r="AC500" s="727"/>
      <c r="AD500" s="727"/>
      <c r="AE500" s="727"/>
      <c r="AF500" s="727"/>
      <c r="AG500" s="752">
        <f>IF(AND($C$484="Yes",$V$487="N/A",$V$489="N/A",$V$494="N/A",$V$498="N/A"),(VLOOKUP($V$500,$BA$463:$BB$465,2,FALSE)),0)</f>
        <v>0</v>
      </c>
      <c r="AH500" s="745" t="s">
        <v>1017</v>
      </c>
      <c r="AI500" s="727"/>
      <c r="AJ500" s="727"/>
      <c r="AK500" s="728"/>
      <c r="AL500" s="4"/>
      <c r="AM500" s="4"/>
      <c r="AN500" s="690"/>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0"/>
      <c r="AO501" s="265"/>
      <c r="AP501" s="4"/>
      <c r="AQ501" s="4"/>
      <c r="AR501" s="4"/>
      <c r="AS501" s="4"/>
      <c r="AT501" s="4"/>
      <c r="AU501" s="1698" t="s">
        <v>692</v>
      </c>
      <c r="AV501" s="1699"/>
      <c r="AW501" s="1699"/>
      <c r="AX501" s="1699"/>
      <c r="AY501" s="1699"/>
      <c r="AZ501" s="1699"/>
      <c r="BA501" s="1699"/>
      <c r="BB501" s="20"/>
      <c r="BC501" s="20"/>
      <c r="BE501" s="4"/>
      <c r="BF501" s="4"/>
      <c r="BG501" s="4"/>
      <c r="BH501" s="4"/>
      <c r="BI501" s="4"/>
      <c r="BJ501" s="1696" t="s">
        <v>34</v>
      </c>
      <c r="BK501" s="1697"/>
      <c r="BL501" s="1697"/>
      <c r="BM501" s="1697"/>
      <c r="BN501" s="1697"/>
      <c r="BO501" s="1697"/>
      <c r="BP501" s="169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0"/>
      <c r="AO502" s="265"/>
      <c r="AP502" s="4"/>
      <c r="AQ502" s="4"/>
      <c r="AR502" s="4"/>
      <c r="AS502" s="4"/>
      <c r="AT502" s="4"/>
      <c r="AU502" s="1698"/>
      <c r="AV502" s="1699"/>
      <c r="AW502" s="1699"/>
      <c r="AX502" s="1699"/>
      <c r="AY502" s="1699"/>
      <c r="AZ502" s="1699"/>
      <c r="BA502" s="1699"/>
      <c r="BB502" s="20"/>
      <c r="BC502" s="20"/>
      <c r="BE502" s="4"/>
      <c r="BF502" s="4"/>
      <c r="BG502" s="4"/>
      <c r="BH502" s="4"/>
      <c r="BI502" s="4"/>
      <c r="BJ502" s="1696"/>
      <c r="BK502" s="1697"/>
      <c r="BL502" s="1697"/>
      <c r="BM502" s="1697"/>
      <c r="BN502" s="1697"/>
      <c r="BO502" s="1697"/>
      <c r="BP502" s="1697"/>
      <c r="BQ502" s="20"/>
      <c r="BR502" s="4"/>
    </row>
    <row r="503" spans="1:147" customFormat="1" ht="12.75" hidden="1" customHeight="1">
      <c r="A503" s="120"/>
      <c r="B503" s="4"/>
      <c r="C503" s="1679" t="s">
        <v>132</v>
      </c>
      <c r="D503" s="1680"/>
      <c r="E503" s="755" t="s">
        <v>206</v>
      </c>
      <c r="F503" s="1872" t="s">
        <v>1015</v>
      </c>
      <c r="G503" s="1872"/>
      <c r="H503" s="1872"/>
      <c r="I503" s="1872"/>
      <c r="J503" s="1872"/>
      <c r="K503" s="1872"/>
      <c r="L503" s="1872"/>
      <c r="M503" s="1872"/>
      <c r="N503" s="1872"/>
      <c r="O503" s="1872"/>
      <c r="P503" s="1872"/>
      <c r="Q503" s="1872"/>
      <c r="R503" s="1872"/>
      <c r="S503" s="1872"/>
      <c r="T503" s="1872"/>
      <c r="U503" s="1872"/>
      <c r="V503" s="1872"/>
      <c r="W503" s="1872"/>
      <c r="X503" s="1872"/>
      <c r="Y503" s="1872"/>
      <c r="Z503" s="1872"/>
      <c r="AA503" s="1872"/>
      <c r="AB503" s="1872"/>
      <c r="AC503" s="1872"/>
      <c r="AD503" s="1872"/>
      <c r="AE503" s="1872"/>
      <c r="AF503" s="710"/>
      <c r="AG503" s="756"/>
      <c r="AH503" s="756"/>
      <c r="AI503" s="756"/>
      <c r="AJ503" s="756"/>
      <c r="AK503" s="734"/>
      <c r="AL503" s="4"/>
      <c r="AM503" s="4"/>
      <c r="AN503" s="682"/>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9"/>
      <c r="D504" s="4"/>
      <c r="E504" s="143"/>
      <c r="F504" s="1873"/>
      <c r="G504" s="1873"/>
      <c r="H504" s="1873"/>
      <c r="I504" s="1873"/>
      <c r="J504" s="1873"/>
      <c r="K504" s="1873"/>
      <c r="L504" s="1873"/>
      <c r="M504" s="1873"/>
      <c r="N504" s="1873"/>
      <c r="O504" s="1873"/>
      <c r="P504" s="1873"/>
      <c r="Q504" s="1873"/>
      <c r="R504" s="1873"/>
      <c r="S504" s="1873"/>
      <c r="T504" s="1873"/>
      <c r="U504" s="1873"/>
      <c r="V504" s="1873"/>
      <c r="W504" s="1873"/>
      <c r="X504" s="1873"/>
      <c r="Y504" s="1873"/>
      <c r="Z504" s="1873"/>
      <c r="AA504" s="1873"/>
      <c r="AB504" s="1873"/>
      <c r="AC504" s="1873"/>
      <c r="AD504" s="1873"/>
      <c r="AE504" s="1873"/>
      <c r="AF504" s="4"/>
      <c r="AG504" s="19"/>
      <c r="AH504" s="19"/>
      <c r="AI504" s="19"/>
      <c r="AJ504" s="19"/>
      <c r="AK504" s="718"/>
      <c r="AL504" s="4"/>
      <c r="AM504" s="4"/>
      <c r="AN504" s="682"/>
      <c r="AO504" s="38"/>
      <c r="AP504" s="1552" t="s">
        <v>1567</v>
      </c>
      <c r="AQ504" s="1553"/>
      <c r="AR504" s="1554"/>
      <c r="AS504" s="637">
        <v>80</v>
      </c>
      <c r="AT504" s="4">
        <v>0</v>
      </c>
      <c r="AU504" s="160">
        <v>10</v>
      </c>
      <c r="AV504" s="160">
        <v>25</v>
      </c>
      <c r="AW504" s="160">
        <v>37.5</v>
      </c>
      <c r="AX504" s="160">
        <v>35</v>
      </c>
      <c r="AY504" s="160">
        <v>37.5</v>
      </c>
      <c r="AZ504" s="160">
        <v>50</v>
      </c>
      <c r="BA504" s="160">
        <v>50</v>
      </c>
      <c r="BB504" s="21"/>
      <c r="BC504" s="21"/>
      <c r="BE504" s="1552" t="s">
        <v>1567</v>
      </c>
      <c r="BF504" s="1553"/>
      <c r="BG504" s="1554"/>
      <c r="BH504" s="637">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0"/>
      <c r="D505" s="727"/>
      <c r="E505" s="741"/>
      <c r="F505" s="1881" t="s">
        <v>132</v>
      </c>
      <c r="G505" s="1881"/>
      <c r="H505" s="1881"/>
      <c r="I505" s="1881"/>
      <c r="J505" s="1881"/>
      <c r="K505" s="1881"/>
      <c r="L505" s="1881"/>
      <c r="M505" s="1881"/>
      <c r="N505" s="1881"/>
      <c r="O505" s="1881"/>
      <c r="P505" s="1881"/>
      <c r="Q505" s="1881"/>
      <c r="R505" s="1881"/>
      <c r="S505" s="1881"/>
      <c r="T505" s="1881"/>
      <c r="U505" s="1881"/>
      <c r="V505" s="1881"/>
      <c r="W505" s="1881"/>
      <c r="X505" s="1881"/>
      <c r="Y505" s="1881"/>
      <c r="Z505" s="1881"/>
      <c r="AA505" s="742"/>
      <c r="AB505" s="743"/>
      <c r="AC505" s="743"/>
      <c r="AD505" s="727"/>
      <c r="AE505" s="727"/>
      <c r="AF505" s="727"/>
      <c r="AG505" s="744">
        <f>IF($C$503="Yes",(VLOOKUP($F$505,$AO$473:$AP$481,2,FALSE)),0)</f>
        <v>0</v>
      </c>
      <c r="AH505" s="745" t="s">
        <v>1017</v>
      </c>
      <c r="AI505" s="744"/>
      <c r="AJ505" s="743"/>
      <c r="AK505" s="728"/>
      <c r="AL505" s="4"/>
      <c r="AM505" s="4"/>
      <c r="AN505" s="682"/>
      <c r="AO505" s="38"/>
      <c r="AP505" s="1555"/>
      <c r="AQ505" s="1556"/>
      <c r="AR505" s="1557"/>
      <c r="AS505" s="637">
        <v>75</v>
      </c>
      <c r="AT505" s="4">
        <v>0</v>
      </c>
      <c r="AU505" s="160">
        <v>10</v>
      </c>
      <c r="AV505" s="160">
        <v>25</v>
      </c>
      <c r="AW505" s="160">
        <v>37.5</v>
      </c>
      <c r="AX505" s="160">
        <v>35</v>
      </c>
      <c r="AY505" s="160">
        <v>37.5</v>
      </c>
      <c r="AZ505" s="160">
        <v>50</v>
      </c>
      <c r="BA505" s="160">
        <v>50</v>
      </c>
      <c r="BB505" s="21"/>
      <c r="BC505" s="21"/>
      <c r="BE505" s="1555"/>
      <c r="BF505" s="1556"/>
      <c r="BG505" s="1557"/>
      <c r="BH505" s="637">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2"/>
      <c r="AO506" s="38"/>
      <c r="AP506" s="1555"/>
      <c r="AQ506" s="1556"/>
      <c r="AR506" s="1557"/>
      <c r="AS506" s="637">
        <v>70</v>
      </c>
      <c r="AT506" s="4">
        <v>0</v>
      </c>
      <c r="AU506" s="160">
        <v>10</v>
      </c>
      <c r="AV506" s="160">
        <v>25</v>
      </c>
      <c r="AW506" s="160">
        <v>37.5</v>
      </c>
      <c r="AX506" s="160">
        <v>35</v>
      </c>
      <c r="AY506" s="160">
        <v>37.5</v>
      </c>
      <c r="AZ506" s="160">
        <v>50</v>
      </c>
      <c r="BA506" s="160">
        <v>50</v>
      </c>
      <c r="BB506" s="21"/>
      <c r="BC506" s="21"/>
      <c r="BE506" s="1555"/>
      <c r="BF506" s="1556"/>
      <c r="BG506" s="1557"/>
      <c r="BH506" s="637">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9" t="s">
        <v>132</v>
      </c>
      <c r="D507" s="1680"/>
      <c r="E507" s="755" t="s">
        <v>321</v>
      </c>
      <c r="F507" s="1877" t="s">
        <v>1205</v>
      </c>
      <c r="G507" s="1877"/>
      <c r="H507" s="1877"/>
      <c r="I507" s="1877"/>
      <c r="J507" s="1877"/>
      <c r="K507" s="1877"/>
      <c r="L507" s="1877"/>
      <c r="M507" s="1877"/>
      <c r="N507" s="1877"/>
      <c r="O507" s="1877"/>
      <c r="P507" s="1877"/>
      <c r="Q507" s="1877"/>
      <c r="R507" s="1877"/>
      <c r="S507" s="1877"/>
      <c r="T507" s="1877"/>
      <c r="U507" s="1877"/>
      <c r="V507" s="1877"/>
      <c r="W507" s="1877"/>
      <c r="X507" s="1877"/>
      <c r="Y507" s="1877"/>
      <c r="Z507" s="1877"/>
      <c r="AA507" s="1877"/>
      <c r="AB507" s="1877"/>
      <c r="AC507" s="1877"/>
      <c r="AD507" s="1877"/>
      <c r="AE507" s="1877"/>
      <c r="AF507" s="710"/>
      <c r="AG507" s="747"/>
      <c r="AH507" s="747"/>
      <c r="AI507" s="747"/>
      <c r="AJ507" s="747"/>
      <c r="AK507" s="734"/>
      <c r="AL507" s="4"/>
      <c r="AM507" s="4"/>
      <c r="AN507" s="682"/>
      <c r="AO507" s="38"/>
      <c r="AP507" s="1555"/>
      <c r="AQ507" s="1556"/>
      <c r="AR507" s="1557"/>
      <c r="AS507" s="637">
        <v>65</v>
      </c>
      <c r="AT507" s="4">
        <v>0</v>
      </c>
      <c r="AU507" s="160">
        <v>10</v>
      </c>
      <c r="AV507" s="160">
        <v>25</v>
      </c>
      <c r="AW507" s="160">
        <v>37.5</v>
      </c>
      <c r="AX507" s="160">
        <v>35</v>
      </c>
      <c r="AY507" s="160">
        <v>37.5</v>
      </c>
      <c r="AZ507" s="160">
        <v>50</v>
      </c>
      <c r="BA507" s="160">
        <v>50</v>
      </c>
      <c r="BB507" s="21"/>
      <c r="BC507" s="21"/>
      <c r="BE507" s="1555"/>
      <c r="BF507" s="1556"/>
      <c r="BG507" s="1557"/>
      <c r="BH507" s="637">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9"/>
      <c r="D508" s="4"/>
      <c r="E508" s="143"/>
      <c r="F508" s="1878"/>
      <c r="G508" s="1878"/>
      <c r="H508" s="1878"/>
      <c r="I508" s="1878"/>
      <c r="J508" s="1878"/>
      <c r="K508" s="1878"/>
      <c r="L508" s="1878"/>
      <c r="M508" s="1878"/>
      <c r="N508" s="1878"/>
      <c r="O508" s="1878"/>
      <c r="P508" s="1878"/>
      <c r="Q508" s="1878"/>
      <c r="R508" s="1878"/>
      <c r="S508" s="1878"/>
      <c r="T508" s="1878"/>
      <c r="U508" s="1878"/>
      <c r="V508" s="1878"/>
      <c r="W508" s="1878"/>
      <c r="X508" s="1878"/>
      <c r="Y508" s="1878"/>
      <c r="Z508" s="1878"/>
      <c r="AA508" s="1878"/>
      <c r="AB508" s="1878"/>
      <c r="AC508" s="1878"/>
      <c r="AD508" s="1878"/>
      <c r="AE508" s="1878"/>
      <c r="AF508" s="4"/>
      <c r="AG508" s="19"/>
      <c r="AH508" s="19"/>
      <c r="AI508" s="19"/>
      <c r="AJ508" s="19"/>
      <c r="AK508" s="718"/>
      <c r="AL508" s="4"/>
      <c r="AM508" s="4"/>
      <c r="AN508" s="682"/>
      <c r="AO508" s="38"/>
      <c r="AP508" s="1555"/>
      <c r="AQ508" s="1556"/>
      <c r="AR508" s="1557"/>
      <c r="AS508" s="637">
        <v>60</v>
      </c>
      <c r="AT508" s="4">
        <v>0</v>
      </c>
      <c r="AU508" s="160">
        <v>10</v>
      </c>
      <c r="AV508" s="160">
        <v>25</v>
      </c>
      <c r="AW508" s="160">
        <v>37.5</v>
      </c>
      <c r="AX508" s="160">
        <v>35</v>
      </c>
      <c r="AY508" s="160">
        <v>37.5</v>
      </c>
      <c r="AZ508" s="160">
        <v>50</v>
      </c>
      <c r="BA508" s="160">
        <v>50</v>
      </c>
      <c r="BB508" s="21"/>
      <c r="BC508" s="21"/>
      <c r="BE508" s="1555"/>
      <c r="BF508" s="1556"/>
      <c r="BG508" s="1557"/>
      <c r="BH508" s="637">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0"/>
      <c r="D509" s="4"/>
      <c r="E509" s="4"/>
      <c r="F509" s="576"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8"/>
      <c r="AL509" s="4"/>
      <c r="AM509" s="4"/>
      <c r="AN509" s="682"/>
      <c r="AP509" s="1555"/>
      <c r="AQ509" s="1556"/>
      <c r="AR509" s="1557"/>
      <c r="AS509" s="637">
        <v>55</v>
      </c>
      <c r="AT509" s="4">
        <v>0</v>
      </c>
      <c r="AU509" s="160">
        <v>10</v>
      </c>
      <c r="AV509" s="160">
        <v>25</v>
      </c>
      <c r="AW509" s="160">
        <v>37.5</v>
      </c>
      <c r="AX509" s="160">
        <v>35</v>
      </c>
      <c r="AY509" s="160">
        <v>37.5</v>
      </c>
      <c r="AZ509" s="160">
        <v>50</v>
      </c>
      <c r="BA509" s="160">
        <v>50</v>
      </c>
      <c r="BE509" s="1555"/>
      <c r="BF509" s="1556"/>
      <c r="BG509" s="1557"/>
      <c r="BH509" s="637">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0"/>
      <c r="D510" s="727"/>
      <c r="E510" s="741"/>
      <c r="F510" s="1882" t="s">
        <v>132</v>
      </c>
      <c r="G510" s="1882"/>
      <c r="H510" s="1882"/>
      <c r="I510" s="743"/>
      <c r="J510" s="743"/>
      <c r="K510" s="743"/>
      <c r="L510" s="743"/>
      <c r="M510" s="743"/>
      <c r="N510" s="743"/>
      <c r="O510" s="743"/>
      <c r="P510" s="743"/>
      <c r="Q510" s="743"/>
      <c r="R510" s="743"/>
      <c r="S510" s="743"/>
      <c r="T510" s="743"/>
      <c r="U510" s="743"/>
      <c r="V510" s="743"/>
      <c r="W510" s="743"/>
      <c r="X510" s="743"/>
      <c r="Y510" s="743"/>
      <c r="Z510" s="743"/>
      <c r="AA510" s="743"/>
      <c r="AB510" s="743"/>
      <c r="AC510" s="743"/>
      <c r="AD510" s="727"/>
      <c r="AE510" s="727"/>
      <c r="AF510" s="727"/>
      <c r="AG510" s="744">
        <f>IF($C$507="Yes",(VLOOKUP($F$510,$AO$483:$AP$485,2,FALSE)),0)</f>
        <v>0</v>
      </c>
      <c r="AH510" s="745" t="s">
        <v>1017</v>
      </c>
      <c r="AI510" s="743"/>
      <c r="AJ510" s="743"/>
      <c r="AK510" s="728"/>
      <c r="AL510" s="4"/>
      <c r="AM510" s="4"/>
      <c r="AN510" s="682"/>
      <c r="AP510" s="1555"/>
      <c r="AQ510" s="1556"/>
      <c r="AR510" s="1557"/>
      <c r="AS510" s="159">
        <v>50</v>
      </c>
      <c r="AT510" s="4">
        <v>0</v>
      </c>
      <c r="AU510" s="160">
        <v>10</v>
      </c>
      <c r="AV510" s="160">
        <v>25</v>
      </c>
      <c r="AW510" s="160">
        <v>37.5</v>
      </c>
      <c r="AX510" s="160">
        <v>35</v>
      </c>
      <c r="AY510" s="160">
        <v>37.5</v>
      </c>
      <c r="AZ510" s="160">
        <v>50</v>
      </c>
      <c r="BA510" s="160">
        <v>50</v>
      </c>
      <c r="BE510" s="1555"/>
      <c r="BF510" s="1556"/>
      <c r="BG510" s="155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2"/>
      <c r="AP511" s="1555"/>
      <c r="AQ511" s="1556"/>
      <c r="AR511" s="1557"/>
      <c r="AS511" s="159">
        <v>45</v>
      </c>
      <c r="AT511" s="4">
        <v>0</v>
      </c>
      <c r="AU511" s="160">
        <v>10</v>
      </c>
      <c r="AV511" s="160">
        <v>22.5</v>
      </c>
      <c r="AW511" s="160">
        <v>33.799999999999997</v>
      </c>
      <c r="AX511" s="160">
        <v>35</v>
      </c>
      <c r="AY511" s="160">
        <v>37.5</v>
      </c>
      <c r="AZ511" s="160">
        <v>50</v>
      </c>
      <c r="BA511" s="160">
        <v>50</v>
      </c>
      <c r="BE511" s="1555"/>
      <c r="BF511" s="1556"/>
      <c r="BG511" s="155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9" t="s">
        <v>132</v>
      </c>
      <c r="D512" s="1680"/>
      <c r="E512" s="755" t="s">
        <v>1312</v>
      </c>
      <c r="F512" s="754" t="s">
        <v>1022</v>
      </c>
      <c r="G512" s="747"/>
      <c r="H512" s="747"/>
      <c r="I512" s="747"/>
      <c r="J512" s="747"/>
      <c r="K512" s="747"/>
      <c r="L512" s="747"/>
      <c r="M512" s="747"/>
      <c r="N512" s="747"/>
      <c r="O512" s="747"/>
      <c r="P512" s="747"/>
      <c r="Q512" s="747"/>
      <c r="R512" s="747"/>
      <c r="S512" s="747"/>
      <c r="T512" s="747"/>
      <c r="U512" s="747"/>
      <c r="V512" s="747"/>
      <c r="W512" s="747"/>
      <c r="X512" s="747"/>
      <c r="Y512" s="747"/>
      <c r="Z512" s="747"/>
      <c r="AA512" s="747"/>
      <c r="AB512" s="747"/>
      <c r="AC512" s="757"/>
      <c r="AD512" s="710"/>
      <c r="AE512" s="710"/>
      <c r="AF512" s="710"/>
      <c r="AG512" s="758"/>
      <c r="AH512" s="758"/>
      <c r="AI512" s="758"/>
      <c r="AJ512" s="758"/>
      <c r="AK512" s="734"/>
      <c r="AL512" s="4"/>
      <c r="AM512" s="4"/>
      <c r="AN512" s="682"/>
      <c r="AP512" s="1555"/>
      <c r="AQ512" s="1556"/>
      <c r="AR512" s="1557"/>
      <c r="AS512" s="159">
        <v>40</v>
      </c>
      <c r="AT512" s="4">
        <v>0</v>
      </c>
      <c r="AU512" s="160">
        <v>10</v>
      </c>
      <c r="AV512" s="160">
        <v>20</v>
      </c>
      <c r="AW512" s="160">
        <v>30</v>
      </c>
      <c r="AX512" s="160">
        <v>35</v>
      </c>
      <c r="AY512" s="160">
        <v>37.5</v>
      </c>
      <c r="AZ512" s="160">
        <v>50</v>
      </c>
      <c r="BA512" s="160">
        <v>50</v>
      </c>
      <c r="BE512" s="1555"/>
      <c r="BF512" s="1556"/>
      <c r="BG512" s="155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9"/>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8"/>
      <c r="AL513" s="4"/>
      <c r="AM513" s="4"/>
      <c r="AN513" s="682"/>
      <c r="AP513" s="1555"/>
      <c r="AQ513" s="1556"/>
      <c r="AR513" s="1557"/>
      <c r="AS513" s="159">
        <v>35</v>
      </c>
      <c r="AT513" s="4">
        <v>0</v>
      </c>
      <c r="AU513" s="160">
        <v>8.8000000000000007</v>
      </c>
      <c r="AV513" s="160">
        <v>17.5</v>
      </c>
      <c r="AW513" s="160">
        <v>26.3</v>
      </c>
      <c r="AX513" s="160">
        <v>35</v>
      </c>
      <c r="AY513" s="160">
        <v>37.5</v>
      </c>
      <c r="AZ513" s="160">
        <v>50</v>
      </c>
      <c r="BA513" s="160">
        <v>50</v>
      </c>
      <c r="BE513" s="1555"/>
      <c r="BF513" s="1556"/>
      <c r="BG513" s="155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6"/>
      <c r="D514" s="104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8"/>
      <c r="AL514" s="4"/>
      <c r="AM514" s="4"/>
      <c r="AN514" s="682"/>
      <c r="AP514" s="1555"/>
      <c r="AQ514" s="1556"/>
      <c r="AR514" s="1557"/>
      <c r="AS514" s="159">
        <v>30</v>
      </c>
      <c r="AT514" s="4">
        <v>0</v>
      </c>
      <c r="AU514" s="160">
        <v>7.5</v>
      </c>
      <c r="AV514" s="160">
        <v>15</v>
      </c>
      <c r="AW514" s="160">
        <v>22.5</v>
      </c>
      <c r="AX514" s="160">
        <v>30</v>
      </c>
      <c r="AY514" s="160">
        <v>37.5</v>
      </c>
      <c r="AZ514" s="160">
        <v>45</v>
      </c>
      <c r="BA514" s="160">
        <v>50</v>
      </c>
      <c r="BE514" s="1555"/>
      <c r="BF514" s="1556"/>
      <c r="BG514" s="155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9"/>
      <c r="D515" s="4"/>
      <c r="E515" s="143"/>
      <c r="F515" s="19"/>
      <c r="G515" s="1682" t="s">
        <v>132</v>
      </c>
      <c r="H515" s="1682"/>
      <c r="I515" s="1682"/>
      <c r="J515" s="1682"/>
      <c r="K515" s="1682"/>
      <c r="L515" s="1682"/>
      <c r="M515" s="1682"/>
      <c r="N515" s="1682"/>
      <c r="O515" s="1682"/>
      <c r="P515" s="1682"/>
      <c r="Q515" s="1682"/>
      <c r="R515" s="1682"/>
      <c r="S515" s="1682"/>
      <c r="T515" s="1682"/>
      <c r="U515" s="1682"/>
      <c r="V515" s="1682"/>
      <c r="W515" s="1682"/>
      <c r="X515" s="1682"/>
      <c r="Y515" s="1682"/>
      <c r="Z515" s="1682"/>
      <c r="AA515" s="1682"/>
      <c r="AB515" s="1682"/>
      <c r="AC515" s="1682"/>
      <c r="AD515" s="1682"/>
      <c r="AE515" s="1682"/>
      <c r="AF515" s="1682"/>
      <c r="AG515" s="4"/>
      <c r="AH515" s="4"/>
      <c r="AI515" s="4"/>
      <c r="AJ515" s="19"/>
      <c r="AK515" s="718"/>
      <c r="AL515" s="4"/>
      <c r="AM515" s="4"/>
      <c r="AN515" s="682"/>
      <c r="AP515" s="1555"/>
      <c r="AQ515" s="1556"/>
      <c r="AR515" s="1557"/>
      <c r="AS515" s="159">
        <v>25</v>
      </c>
      <c r="AT515" s="4">
        <v>0</v>
      </c>
      <c r="AU515" s="160">
        <v>6.3</v>
      </c>
      <c r="AV515" s="160">
        <v>12.5</v>
      </c>
      <c r="AW515" s="160">
        <v>18.8</v>
      </c>
      <c r="AX515" s="160">
        <v>25</v>
      </c>
      <c r="AY515" s="160">
        <v>31.3</v>
      </c>
      <c r="AZ515" s="160">
        <v>37.5</v>
      </c>
      <c r="BA515" s="160">
        <v>50</v>
      </c>
      <c r="BE515" s="1555"/>
      <c r="BF515" s="1556"/>
      <c r="BG515" s="155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8"/>
      <c r="AL516" s="4"/>
      <c r="AM516" s="4"/>
      <c r="AN516" s="682"/>
      <c r="AP516" s="1555"/>
      <c r="AQ516" s="1556"/>
      <c r="AR516" s="1557"/>
      <c r="AS516" s="159">
        <v>20</v>
      </c>
      <c r="AT516" s="4">
        <v>0</v>
      </c>
      <c r="AU516" s="160">
        <v>5</v>
      </c>
      <c r="AV516" s="160">
        <v>10</v>
      </c>
      <c r="AW516" s="160">
        <v>15</v>
      </c>
      <c r="AX516" s="160">
        <v>20</v>
      </c>
      <c r="AY516" s="160">
        <v>25</v>
      </c>
      <c r="AZ516" s="160">
        <v>30</v>
      </c>
      <c r="BA516" s="160">
        <v>40</v>
      </c>
      <c r="BE516" s="1555"/>
      <c r="BF516" s="1556"/>
      <c r="BG516" s="155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3" t="s">
        <v>132</v>
      </c>
      <c r="D517" s="1684"/>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8"/>
      <c r="AL517" s="4"/>
      <c r="AM517" s="4"/>
      <c r="AN517" s="682"/>
      <c r="AP517" s="1555"/>
      <c r="AQ517" s="1556"/>
      <c r="AR517" s="1557"/>
      <c r="AS517" s="159">
        <v>15</v>
      </c>
      <c r="AT517" s="4">
        <v>0</v>
      </c>
      <c r="AU517" s="160">
        <v>3.8</v>
      </c>
      <c r="AV517" s="160">
        <v>7.5</v>
      </c>
      <c r="AW517" s="160">
        <v>11.3</v>
      </c>
      <c r="AX517" s="160">
        <v>15</v>
      </c>
      <c r="AY517" s="160">
        <v>18.8</v>
      </c>
      <c r="AZ517" s="160">
        <v>22.5</v>
      </c>
      <c r="BA517" s="160">
        <v>30</v>
      </c>
      <c r="BE517" s="1555"/>
      <c r="BF517" s="1556"/>
      <c r="BG517" s="155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1"/>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8"/>
      <c r="AL518" s="4"/>
      <c r="AM518" s="4"/>
      <c r="AN518" s="281"/>
      <c r="AP518" s="1558"/>
      <c r="AQ518" s="1559"/>
      <c r="AR518" s="1560"/>
      <c r="AS518" s="159">
        <v>10</v>
      </c>
      <c r="AT518" s="4">
        <v>0</v>
      </c>
      <c r="AU518" s="160">
        <v>2.5</v>
      </c>
      <c r="AV518" s="160">
        <v>5</v>
      </c>
      <c r="AW518" s="160">
        <v>7.5</v>
      </c>
      <c r="AX518" s="160">
        <v>10</v>
      </c>
      <c r="AY518" s="160">
        <v>12.5</v>
      </c>
      <c r="AZ518" s="160">
        <v>15</v>
      </c>
      <c r="BA518" s="160">
        <v>20</v>
      </c>
      <c r="BE518" s="1558"/>
      <c r="BF518" s="1559"/>
      <c r="BG518" s="156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1"/>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8"/>
      <c r="AN519" s="683"/>
      <c r="AP519" s="5"/>
      <c r="AQ519" s="5"/>
      <c r="AR519" s="5"/>
    </row>
    <row r="520" spans="1:122" s="4" customFormat="1" ht="12.75" hidden="1" customHeight="1">
      <c r="A520" s="35"/>
      <c r="B520" s="21"/>
      <c r="C520" s="759"/>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1"/>
      <c r="AL520" s="21"/>
      <c r="AM520" s="21"/>
      <c r="AN520" s="683"/>
      <c r="AO520" s="5"/>
      <c r="AP520" s="5"/>
      <c r="AQ520" s="5"/>
      <c r="AR520" s="5"/>
    </row>
    <row r="521" spans="1:122" s="4" customFormat="1" ht="12.75" hidden="1" customHeight="1">
      <c r="A521" s="35"/>
      <c r="C521" s="1683" t="s">
        <v>132</v>
      </c>
      <c r="D521" s="1684"/>
      <c r="F521" s="508" t="s">
        <v>914</v>
      </c>
      <c r="G521" s="1651" t="s">
        <v>1026</v>
      </c>
      <c r="H521" s="1651"/>
      <c r="I521" s="1651"/>
      <c r="J521" s="1651"/>
      <c r="K521" s="1651"/>
      <c r="L521" s="1651"/>
      <c r="M521" s="1651"/>
      <c r="N521" s="1651"/>
      <c r="O521" s="1651"/>
      <c r="P521" s="1651"/>
      <c r="Q521" s="1651"/>
      <c r="R521" s="1651"/>
      <c r="S521" s="1651"/>
      <c r="T521" s="1651"/>
      <c r="U521" s="1651"/>
      <c r="V521" s="1651"/>
      <c r="W521" s="1651"/>
      <c r="X521" s="1651"/>
      <c r="Y521" s="1651"/>
      <c r="Z521" s="1651"/>
      <c r="AA521" s="1651"/>
      <c r="AB521" s="1651"/>
      <c r="AC521" s="1651"/>
      <c r="AD521" s="1651"/>
      <c r="AE521" s="1651"/>
      <c r="AF521" s="1651"/>
      <c r="AG521" s="104">
        <f>IF(AND($C$521="Yes",$C$512="Yes"),2,0)</f>
        <v>0</v>
      </c>
      <c r="AH521" s="128" t="s">
        <v>1017</v>
      </c>
      <c r="AI521" s="19"/>
      <c r="AJ521" s="108"/>
      <c r="AK521" s="718"/>
      <c r="AN521" s="683"/>
      <c r="AP521" s="92"/>
      <c r="AQ521" s="93"/>
      <c r="AR521" s="93"/>
      <c r="AS521" s="93"/>
      <c r="AT521" s="93"/>
      <c r="AU521" s="93"/>
      <c r="AV521" s="93"/>
      <c r="AW521" s="93"/>
      <c r="AX521" s="93"/>
      <c r="AY521" s="93"/>
      <c r="AZ521" s="168"/>
      <c r="BA521" s="93"/>
      <c r="BB521" s="93"/>
      <c r="BC521" s="59" t="s">
        <v>359</v>
      </c>
      <c r="BD521" s="1695">
        <f>BJ525</f>
        <v>73</v>
      </c>
      <c r="BE521" s="1695"/>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0"/>
      <c r="D522" s="727"/>
      <c r="E522" s="741"/>
      <c r="F522" s="716"/>
      <c r="G522" s="1685"/>
      <c r="H522" s="1685"/>
      <c r="I522" s="1685"/>
      <c r="J522" s="1685"/>
      <c r="K522" s="1685"/>
      <c r="L522" s="1685"/>
      <c r="M522" s="1685"/>
      <c r="N522" s="1685"/>
      <c r="O522" s="1685"/>
      <c r="P522" s="1685"/>
      <c r="Q522" s="1685"/>
      <c r="R522" s="1685"/>
      <c r="S522" s="1685"/>
      <c r="T522" s="1685"/>
      <c r="U522" s="1685"/>
      <c r="V522" s="1685"/>
      <c r="W522" s="1685"/>
      <c r="X522" s="1685"/>
      <c r="Y522" s="1685"/>
      <c r="Z522" s="1685"/>
      <c r="AA522" s="1685"/>
      <c r="AB522" s="1685"/>
      <c r="AC522" s="1685"/>
      <c r="AD522" s="1685"/>
      <c r="AE522" s="1685"/>
      <c r="AF522" s="1685"/>
      <c r="AG522" s="743"/>
      <c r="AH522" s="743"/>
      <c r="AI522" s="743"/>
      <c r="AJ522" s="743"/>
      <c r="AK522" s="728"/>
      <c r="AN522" s="683"/>
      <c r="AP522" s="92"/>
      <c r="AQ522" s="93"/>
      <c r="AR522" s="93"/>
      <c r="AS522" s="93"/>
      <c r="AT522" s="93"/>
      <c r="AU522" s="93"/>
      <c r="AV522" s="93"/>
      <c r="AW522" s="93"/>
      <c r="AX522" s="93"/>
      <c r="AY522" s="93"/>
      <c r="AZ522" s="168"/>
      <c r="BA522" s="93"/>
      <c r="BB522" s="93"/>
      <c r="BC522" s="59" t="s">
        <v>361</v>
      </c>
      <c r="BD522" s="1695">
        <f>SUM(E578:J586)</f>
        <v>73</v>
      </c>
      <c r="BE522" s="1695"/>
      <c r="BF522" s="168" t="s">
        <v>360</v>
      </c>
      <c r="BG522" s="93"/>
      <c r="BH522" s="93"/>
      <c r="BI522" s="93"/>
      <c r="BJ522" s="93"/>
      <c r="BK522" s="169"/>
      <c r="BM522" s="431">
        <v>4</v>
      </c>
      <c r="BN522" s="430"/>
      <c r="BO522" s="431">
        <v>4</v>
      </c>
      <c r="BP522" s="430"/>
      <c r="BQ522" s="432">
        <v>3</v>
      </c>
      <c r="BR522" s="434"/>
      <c r="BS522" s="432">
        <v>3</v>
      </c>
      <c r="BT522" s="434"/>
      <c r="BU522" s="431">
        <v>2</v>
      </c>
      <c r="BV522" s="430"/>
      <c r="BW522" s="431">
        <v>2</v>
      </c>
      <c r="BX522" s="430"/>
      <c r="BY522" s="432">
        <v>1</v>
      </c>
      <c r="BZ522" s="434"/>
      <c r="CA522" s="432">
        <v>1</v>
      </c>
      <c r="CB522" s="434"/>
      <c r="CC522" s="431" t="s">
        <v>650</v>
      </c>
      <c r="CD522" s="430"/>
      <c r="CE522" s="431" t="s">
        <v>650</v>
      </c>
      <c r="CF522" s="430"/>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3"/>
      <c r="AP523" s="439"/>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3">
        <v>0</v>
      </c>
      <c r="BK523" s="1694"/>
      <c r="BM523" s="431">
        <f>IF(T605&gt;0,1,0)</f>
        <v>0</v>
      </c>
      <c r="BN523" s="430"/>
      <c r="BO523" s="431">
        <f>IF(Y605&gt;=0.1,1,0)</f>
        <v>0</v>
      </c>
      <c r="BP523" s="430"/>
      <c r="BQ523" s="432"/>
      <c r="BR523" s="434"/>
      <c r="BS523" s="432"/>
      <c r="BT523" s="434"/>
      <c r="BU523" s="431"/>
      <c r="BV523" s="430"/>
      <c r="BW523" s="431"/>
      <c r="BX523" s="430"/>
      <c r="BY523" s="432"/>
      <c r="BZ523" s="434"/>
      <c r="CA523" s="432"/>
      <c r="CB523" s="434"/>
      <c r="CC523" s="431"/>
      <c r="CD523" s="430"/>
      <c r="CE523" s="431"/>
      <c r="CF523" s="430"/>
      <c r="CG523"/>
      <c r="CH523"/>
      <c r="CI523"/>
      <c r="CJ523"/>
    </row>
    <row r="524" spans="1:122" s="4" customFormat="1" ht="12.75" hidden="1" customHeight="1">
      <c r="C524" s="763" t="s">
        <v>1912</v>
      </c>
      <c r="D524" s="710"/>
      <c r="E524" s="764"/>
      <c r="F524" s="765"/>
      <c r="G524" s="766"/>
      <c r="H524" s="766"/>
      <c r="I524" s="766"/>
      <c r="J524" s="766"/>
      <c r="K524" s="766"/>
      <c r="L524" s="766"/>
      <c r="M524" s="766"/>
      <c r="N524" s="766"/>
      <c r="O524" s="766"/>
      <c r="P524" s="766"/>
      <c r="Q524" s="766"/>
      <c r="R524" s="766"/>
      <c r="S524" s="766"/>
      <c r="T524" s="766"/>
      <c r="U524" s="766"/>
      <c r="V524" s="766"/>
      <c r="W524" s="766"/>
      <c r="X524" s="766"/>
      <c r="Y524" s="766"/>
      <c r="Z524" s="766"/>
      <c r="AA524" s="766"/>
      <c r="AB524" s="766"/>
      <c r="AC524" s="766"/>
      <c r="AD524" s="766"/>
      <c r="AE524" s="766"/>
      <c r="AF524" s="766"/>
      <c r="AG524" s="747"/>
      <c r="AH524" s="747"/>
      <c r="AI524" s="747"/>
      <c r="AJ524" s="747"/>
      <c r="AK524" s="734"/>
      <c r="AN524" s="281"/>
      <c r="AP524" s="439"/>
      <c r="AQ524" s="168"/>
      <c r="AR524" s="168"/>
      <c r="AS524" s="168"/>
      <c r="AT524" s="168"/>
      <c r="AU524" s="168"/>
      <c r="AV524" s="168"/>
      <c r="AW524" s="168"/>
      <c r="AX524" s="168"/>
      <c r="AY524" s="168"/>
      <c r="AZ524" s="168"/>
      <c r="BA524" s="168"/>
      <c r="BB524" s="168"/>
      <c r="BC524" s="168"/>
      <c r="BD524" s="168"/>
      <c r="BE524" s="168"/>
      <c r="BF524" s="168"/>
      <c r="BG524" s="168"/>
      <c r="BH524" s="168"/>
      <c r="BI524" s="440" t="s">
        <v>11</v>
      </c>
      <c r="BJ524" s="1693">
        <f>Application!AG431</f>
        <v>0</v>
      </c>
      <c r="BK524" s="1694"/>
      <c r="BM524" s="431"/>
      <c r="BN524" s="430"/>
      <c r="BO524" s="431"/>
      <c r="BP524" s="430"/>
      <c r="BQ524" s="432">
        <f>IF(T606&gt;0,1,0)</f>
        <v>1</v>
      </c>
      <c r="BR524" s="434"/>
      <c r="BS524" s="432">
        <f>IF(Y606&gt;=0.1,1,0)</f>
        <v>1</v>
      </c>
      <c r="BT524" s="434"/>
      <c r="BU524" s="431"/>
      <c r="BV524" s="430"/>
      <c r="BW524" s="431"/>
      <c r="BX524" s="430"/>
      <c r="BY524" s="432"/>
      <c r="BZ524" s="434"/>
      <c r="CA524" s="432"/>
      <c r="CB524" s="434"/>
      <c r="CC524" s="431"/>
      <c r="CD524" s="430"/>
      <c r="CE524" s="431"/>
      <c r="CF524" s="430"/>
      <c r="CG524"/>
      <c r="CH524"/>
      <c r="CI524"/>
      <c r="CJ524"/>
    </row>
    <row r="525" spans="1:122" s="4" customFormat="1" ht="12.75" hidden="1" customHeight="1">
      <c r="C525" s="1676" t="s">
        <v>132</v>
      </c>
      <c r="D525" s="1232"/>
      <c r="E525" s="507"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8"/>
      <c r="AN525" s="281"/>
      <c r="AP525" s="69"/>
      <c r="AQ525" s="441"/>
      <c r="AR525" s="441"/>
      <c r="AS525" s="441"/>
      <c r="AT525" s="441"/>
      <c r="AU525" s="441"/>
      <c r="AV525" s="441"/>
      <c r="AW525" s="441"/>
      <c r="AX525" s="441"/>
      <c r="AY525" s="441"/>
      <c r="AZ525" s="441"/>
      <c r="BA525" s="441"/>
      <c r="BB525" s="441"/>
      <c r="BC525" s="441"/>
      <c r="BD525" s="441"/>
      <c r="BE525" s="441"/>
      <c r="BF525" s="441"/>
      <c r="BG525" s="441"/>
      <c r="BH525" s="441"/>
      <c r="BI525" s="279" t="s">
        <v>358</v>
      </c>
      <c r="BJ525" s="1693">
        <f>Application!AG433</f>
        <v>73</v>
      </c>
      <c r="BK525" s="1694"/>
      <c r="BM525" s="1707"/>
      <c r="BN525" s="1708"/>
      <c r="BO525" s="1707"/>
      <c r="BP525" s="1708"/>
      <c r="BQ525" s="1704"/>
      <c r="BR525" s="1706"/>
      <c r="BS525" s="1704"/>
      <c r="BT525" s="1706"/>
      <c r="BU525" s="1707">
        <f>IF(T607&gt;0,1,0)</f>
        <v>1</v>
      </c>
      <c r="BV525" s="1708"/>
      <c r="BW525" s="1707">
        <f>IF(Y607&gt;=0.1,1,0)</f>
        <v>1</v>
      </c>
      <c r="BX525" s="1708"/>
      <c r="BY525" s="1704"/>
      <c r="BZ525" s="1706"/>
      <c r="CA525" s="1704"/>
      <c r="CB525" s="1706"/>
      <c r="CC525" s="1707"/>
      <c r="CD525" s="1708"/>
      <c r="CE525" s="1707"/>
      <c r="CF525" s="1708"/>
      <c r="CG525"/>
      <c r="CH525"/>
      <c r="CI525"/>
      <c r="CJ525"/>
    </row>
    <row r="526" spans="1:122" s="4" customFormat="1" ht="12.75" hidden="1" customHeight="1">
      <c r="C526" s="712"/>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8"/>
      <c r="AN526" s="281"/>
      <c r="BM526" s="1707"/>
      <c r="BN526" s="1708"/>
      <c r="BO526" s="1707"/>
      <c r="BP526" s="1708"/>
      <c r="BQ526" s="1704"/>
      <c r="BR526" s="1706"/>
      <c r="BS526" s="1704"/>
      <c r="BT526" s="1706"/>
      <c r="BU526" s="1707"/>
      <c r="BV526" s="1708"/>
      <c r="BW526" s="1707"/>
      <c r="BX526" s="1708"/>
      <c r="BY526" s="1704">
        <f>IF(T608&gt;0,1,0)</f>
        <v>1</v>
      </c>
      <c r="BZ526" s="1706"/>
      <c r="CA526" s="1704">
        <f>IF(Y608&gt;=0.1,1,0)</f>
        <v>1</v>
      </c>
      <c r="CB526" s="1706"/>
      <c r="CC526" s="1707"/>
      <c r="CD526" s="1708"/>
      <c r="CE526" s="1707"/>
      <c r="CF526" s="1708"/>
      <c r="CG526"/>
      <c r="CH526"/>
      <c r="CI526"/>
      <c r="CJ526"/>
      <c r="CW526"/>
    </row>
    <row r="527" spans="1:122" s="4" customFormat="1" ht="12.75" hidden="1" customHeight="1">
      <c r="C527" s="760"/>
      <c r="D527" s="727"/>
      <c r="E527" s="741"/>
      <c r="F527" s="1876"/>
      <c r="G527" s="1876"/>
      <c r="H527" s="1876"/>
      <c r="I527" s="1876"/>
      <c r="J527" s="1876"/>
      <c r="K527" s="1876"/>
      <c r="L527" s="1876"/>
      <c r="M527" s="1876"/>
      <c r="N527" s="1876"/>
      <c r="O527" s="1876"/>
      <c r="P527" s="1876"/>
      <c r="Q527" s="1876"/>
      <c r="R527" s="1876"/>
      <c r="S527" s="1876"/>
      <c r="T527" s="1876"/>
      <c r="U527" s="1876"/>
      <c r="V527" s="1876"/>
      <c r="W527" s="1876"/>
      <c r="X527" s="1876"/>
      <c r="Y527" s="1876"/>
      <c r="Z527" s="1876"/>
      <c r="AA527" s="1876"/>
      <c r="AB527" s="1876"/>
      <c r="AC527" s="1876"/>
      <c r="AD527" s="1876"/>
      <c r="AE527" s="1876"/>
      <c r="AF527" s="1876"/>
      <c r="AG527" s="743"/>
      <c r="AH527" s="743"/>
      <c r="AI527" s="743"/>
      <c r="AJ527" s="743"/>
      <c r="AK527" s="728"/>
      <c r="AN527" s="281"/>
      <c r="BM527" s="1707"/>
      <c r="BN527" s="1708"/>
      <c r="BO527" s="1707"/>
      <c r="BP527" s="1708"/>
      <c r="BQ527" s="1704"/>
      <c r="BR527" s="1706"/>
      <c r="BS527" s="1704"/>
      <c r="BT527" s="1706"/>
      <c r="BU527" s="1707"/>
      <c r="BV527" s="1708"/>
      <c r="BW527" s="1707"/>
      <c r="BX527" s="1708"/>
      <c r="BY527" s="1704"/>
      <c r="BZ527" s="1706"/>
      <c r="CA527" s="1704"/>
      <c r="CB527" s="1706"/>
      <c r="CC527" s="1707">
        <f>IF(T609&gt;0,1,0)</f>
        <v>1</v>
      </c>
      <c r="CD527" s="1708"/>
      <c r="CE527" s="1707">
        <f>IF(Y609&gt;=0.1,1,0)</f>
        <v>1</v>
      </c>
      <c r="CF527" s="170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7">
        <f>SUM(BM523:BN527)</f>
        <v>0</v>
      </c>
      <c r="BN528" s="1708"/>
      <c r="BO528" s="1707">
        <f>SUM(BO523:BP527)</f>
        <v>0</v>
      </c>
      <c r="BP528" s="1708"/>
      <c r="BQ528" s="1707">
        <f>SUM(BQ523:BR527)</f>
        <v>1</v>
      </c>
      <c r="BR528" s="1708"/>
      <c r="BS528" s="1707">
        <f>SUM(BS523:BT527)</f>
        <v>1</v>
      </c>
      <c r="BT528" s="1708"/>
      <c r="BU528" s="1707">
        <f>SUM(BU523:BV527)</f>
        <v>1</v>
      </c>
      <c r="BV528" s="1708"/>
      <c r="BW528" s="1707">
        <f>SUM(BW523:BX527)</f>
        <v>1</v>
      </c>
      <c r="BX528" s="1708"/>
      <c r="BY528" s="1707">
        <f>SUM(BY523:BZ527)</f>
        <v>1</v>
      </c>
      <c r="BZ528" s="1708"/>
      <c r="CA528" s="1707">
        <f>SUM(CA523:CB527)</f>
        <v>1</v>
      </c>
      <c r="CB528" s="1708"/>
      <c r="CC528" s="1707">
        <f>SUM(CC523:CD527)</f>
        <v>1</v>
      </c>
      <c r="CD528" s="1708"/>
      <c r="CE528" s="1707">
        <f>SUM(CE523:CF527)</f>
        <v>1</v>
      </c>
      <c r="CF528" s="1708"/>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6" t="s">
        <v>484</v>
      </c>
      <c r="AQ529" s="1717"/>
      <c r="AR529" s="1717"/>
      <c r="AS529" s="1717"/>
      <c r="AT529" s="1718"/>
      <c r="AU529" s="1716" t="s">
        <v>485</v>
      </c>
      <c r="AV529" s="1717"/>
      <c r="AW529" s="1717"/>
      <c r="AX529" s="1717"/>
      <c r="AY529" s="1718"/>
      <c r="BM529" s="1704">
        <f>SUM(BM528:BP528)</f>
        <v>0</v>
      </c>
      <c r="BN529" s="1705"/>
      <c r="BO529" s="1705"/>
      <c r="BP529" s="1706"/>
      <c r="BQ529" s="1704">
        <f>SUM(BQ528:BT528)</f>
        <v>2</v>
      </c>
      <c r="BR529" s="1705"/>
      <c r="BS529" s="1705"/>
      <c r="BT529" s="1706"/>
      <c r="BU529" s="1704">
        <f>SUM(BU528:BX528)</f>
        <v>2</v>
      </c>
      <c r="BV529" s="1705"/>
      <c r="BW529" s="1705"/>
      <c r="BX529" s="1706"/>
      <c r="BY529" s="1704">
        <f>SUM(BY528:CB528)</f>
        <v>2</v>
      </c>
      <c r="BZ529" s="1705"/>
      <c r="CA529" s="1705"/>
      <c r="CB529" s="1706"/>
      <c r="CC529" s="1704">
        <f>SUM(CC528:CF528)</f>
        <v>2</v>
      </c>
      <c r="CD529" s="1705"/>
      <c r="CE529" s="1705"/>
      <c r="CF529" s="1706"/>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1">
        <f>RANK(T605,$T$605:$X$609,0)+COUNTIF($T$605:$X$609,T605)-1</f>
        <v>5</v>
      </c>
      <c r="AQ530" s="1702"/>
      <c r="AR530" s="1702"/>
      <c r="AS530" s="1702"/>
      <c r="AT530" s="1703"/>
      <c r="AU530" s="1701">
        <f>RANK(Y605,$Y$605:$AC$609,0)+COUNTIF($Y$605:$AC$609,Y605)-1</f>
        <v>5</v>
      </c>
      <c r="AV530" s="1702"/>
      <c r="AW530" s="1702"/>
      <c r="AX530" s="1702"/>
      <c r="AY530" s="1703"/>
      <c r="BM530" s="1704"/>
      <c r="BN530" s="1705"/>
      <c r="BO530" s="1705"/>
      <c r="BP530" s="1706"/>
      <c r="BQ530" s="1704">
        <f>IF(AND(BQ529=2,BM529=1),1,0)</f>
        <v>0</v>
      </c>
      <c r="BR530" s="1705"/>
      <c r="BS530" s="1705"/>
      <c r="BT530" s="1706"/>
      <c r="BU530" s="1704">
        <f>IF(AND(BU529=2,BQ529=1),1,0)</f>
        <v>0</v>
      </c>
      <c r="BV530" s="1705"/>
      <c r="BW530" s="1705"/>
      <c r="BX530" s="1706"/>
      <c r="BY530" s="1704">
        <f>IF(AND(BY529=2,BU529=1),1,0)</f>
        <v>0</v>
      </c>
      <c r="BZ530" s="1705"/>
      <c r="CA530" s="1705"/>
      <c r="CB530" s="1706"/>
      <c r="CC530" s="1704">
        <f>IF(AND(CC529=2,BU529=1),1,0)</f>
        <v>0</v>
      </c>
      <c r="CD530" s="1705"/>
      <c r="CE530" s="1705"/>
      <c r="CF530" s="1706"/>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1">
        <f>RANK(T606,$T$605:$X$609,0)+COUNTIF($T$605:$X$609,T606)-1</f>
        <v>4</v>
      </c>
      <c r="AQ531" s="1702"/>
      <c r="AR531" s="1702"/>
      <c r="AS531" s="1702"/>
      <c r="AT531" s="1703"/>
      <c r="AU531" s="1701">
        <f>RANK(Y606,$Y$605:$AC$609,0)+COUNTIF($Y$605:$AC$609,Y606)-1</f>
        <v>2</v>
      </c>
      <c r="AV531" s="1702"/>
      <c r="AW531" s="1702"/>
      <c r="AX531" s="1702"/>
      <c r="AY531" s="1703"/>
      <c r="BM531" s="1704"/>
      <c r="BN531" s="1705"/>
      <c r="BO531" s="1705"/>
      <c r="BP531" s="1706"/>
      <c r="BQ531" s="1704"/>
      <c r="BR531" s="1705"/>
      <c r="BS531" s="1705"/>
      <c r="BT531" s="1706"/>
      <c r="BU531" s="1704">
        <f>IF(AND(BU529=2,BM529=1),1,0)</f>
        <v>0</v>
      </c>
      <c r="BV531" s="1705"/>
      <c r="BW531" s="1705"/>
      <c r="BX531" s="1706"/>
      <c r="BY531" s="1704">
        <f>IF(AND(BY529=2,BQ529=1),1,0)</f>
        <v>0</v>
      </c>
      <c r="BZ531" s="1705"/>
      <c r="CA531" s="1705"/>
      <c r="CB531" s="1706"/>
      <c r="CC531" s="1704">
        <f>IF(AND(CC530=2,BY530=1),1,0)</f>
        <v>0</v>
      </c>
      <c r="CD531" s="1705"/>
      <c r="CE531" s="1705"/>
      <c r="CF531" s="1706"/>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1">
        <f>RANK(T607,$T$605:$X$609,0)+COUNTIF($T$605:$X$609,T607)-1</f>
        <v>1</v>
      </c>
      <c r="AQ532" s="1702"/>
      <c r="AR532" s="1702"/>
      <c r="AS532" s="1702"/>
      <c r="AT532" s="1703"/>
      <c r="AU532" s="1701">
        <f>RANK(Y607,$Y$605:$AC$609,0)+COUNTIF($Y$605:$AC$609,Y607)-1</f>
        <v>3</v>
      </c>
      <c r="AV532" s="1702"/>
      <c r="AW532" s="1702"/>
      <c r="AX532" s="1702"/>
      <c r="AY532" s="1703"/>
      <c r="BM532" s="1704"/>
      <c r="BN532" s="1705"/>
      <c r="BO532" s="1705"/>
      <c r="BP532" s="1706"/>
      <c r="BQ532" s="1704"/>
      <c r="BR532" s="1705"/>
      <c r="BS532" s="1705"/>
      <c r="BT532" s="1706"/>
      <c r="BU532" s="1704"/>
      <c r="BV532" s="1705"/>
      <c r="BW532" s="1705"/>
      <c r="BX532" s="1706"/>
      <c r="BY532" s="1704">
        <f>IF(AND(BY529=2,BM529=1),1,0)</f>
        <v>0</v>
      </c>
      <c r="BZ532" s="1705"/>
      <c r="CA532" s="1705"/>
      <c r="CB532" s="1706"/>
      <c r="CC532" s="1704">
        <f>IF(AND(CC529=2,BQ529=1),1,0)</f>
        <v>0</v>
      </c>
      <c r="CD532" s="1705"/>
      <c r="CE532" s="1705"/>
      <c r="CF532" s="1706"/>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1">
        <f>RANK(T608,$T$605:$X$609,0)+COUNTIF($T$605:$X$609,T608)-1</f>
        <v>2</v>
      </c>
      <c r="AQ533" s="1702"/>
      <c r="AR533" s="1702"/>
      <c r="AS533" s="1702"/>
      <c r="AT533" s="1703"/>
      <c r="AU533" s="1701">
        <f>RANK(Y608,$Y$605:$AC$609,0)+COUNTIF($Y$605:$AC$609,Y608)-1</f>
        <v>4</v>
      </c>
      <c r="AV533" s="1702"/>
      <c r="AW533" s="1702"/>
      <c r="AX533" s="1702"/>
      <c r="AY533" s="1703"/>
      <c r="BM533" s="1704"/>
      <c r="BN533" s="1705"/>
      <c r="BO533" s="1705"/>
      <c r="BP533" s="1706"/>
      <c r="BQ533" s="1704"/>
      <c r="BR533" s="1705"/>
      <c r="BS533" s="1705"/>
      <c r="BT533" s="1706"/>
      <c r="BU533" s="1704"/>
      <c r="BV533" s="1705"/>
      <c r="BW533" s="1705"/>
      <c r="BX533" s="1706"/>
      <c r="BY533" s="1704"/>
      <c r="BZ533" s="1705"/>
      <c r="CA533" s="1705"/>
      <c r="CB533" s="1706"/>
      <c r="CC533" s="1704">
        <f>IF(AND(CC529=2,BM529=1),1,0)</f>
        <v>0</v>
      </c>
      <c r="CD533" s="1705"/>
      <c r="CE533" s="1705"/>
      <c r="CF533" s="1706"/>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1">
        <f>RANK(T609,$T$605:$X$609,0)+COUNTIF($T$605:$X$609,T609)-1</f>
        <v>4</v>
      </c>
      <c r="AQ534" s="1702"/>
      <c r="AR534" s="1702"/>
      <c r="AS534" s="1702"/>
      <c r="AT534" s="1703"/>
      <c r="AU534" s="1701">
        <f>RANK(Y609,$Y$605:$AC$609,0)+COUNTIF($Y$605:$AC$609,Y609)-1</f>
        <v>2</v>
      </c>
      <c r="AV534" s="1702"/>
      <c r="AW534" s="1702"/>
      <c r="AX534" s="1702"/>
      <c r="AY534" s="1703"/>
      <c r="BM534" s="1704">
        <f>SUM(BM530:BP533)</f>
        <v>0</v>
      </c>
      <c r="BN534" s="1705"/>
      <c r="BO534" s="1705"/>
      <c r="BP534" s="1706"/>
      <c r="BQ534" s="1704">
        <f>SUM(BQ530:BT533)</f>
        <v>0</v>
      </c>
      <c r="BR534" s="1705"/>
      <c r="BS534" s="1705"/>
      <c r="BT534" s="1706"/>
      <c r="BU534" s="1704">
        <f>SUM(BU530:BX533)</f>
        <v>0</v>
      </c>
      <c r="BV534" s="1705"/>
      <c r="BW534" s="1705"/>
      <c r="BX534" s="1706"/>
      <c r="BY534" s="1704">
        <f>SUM(BY530:CB533)</f>
        <v>0</v>
      </c>
      <c r="BZ534" s="1705"/>
      <c r="CA534" s="1705"/>
      <c r="CB534" s="1706"/>
      <c r="CC534" s="1704">
        <f>SUM(CC530:CF533)</f>
        <v>0</v>
      </c>
      <c r="CD534" s="1705"/>
      <c r="CE534" s="1705"/>
      <c r="CF534" s="1706"/>
      <c r="CG534" s="1704">
        <f>SUM(BM534:CF534)</f>
        <v>0</v>
      </c>
      <c r="CH534" s="1705"/>
      <c r="CI534" s="1705"/>
      <c r="CJ534" s="1706"/>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5">
        <f>SUM(AG481:AG526)</f>
        <v>0</v>
      </c>
      <c r="AL537" s="1256"/>
      <c r="AM537" s="1257"/>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7">
        <f>SUM(O605:S609)</f>
        <v>73</v>
      </c>
      <c r="AZ538" s="1708"/>
      <c r="CG538"/>
      <c r="CH538" s="1831"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7" t="str">
        <f>IF(AY538=BK565,"passed","failed")</f>
        <v>passed</v>
      </c>
      <c r="AT539" s="1709"/>
      <c r="AU539" s="1708"/>
      <c r="AV539" s="151"/>
      <c r="AW539" s="151"/>
      <c r="AX539" s="151"/>
      <c r="AY539" s="151"/>
      <c r="AZ539" s="152"/>
      <c r="CG539"/>
      <c r="CH539" s="1203"/>
      <c r="CI539" s="1204"/>
      <c r="CJ539" s="1204"/>
      <c r="CK539" s="120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6" t="s">
        <v>390</v>
      </c>
      <c r="AF540" s="1816"/>
      <c r="AG540" s="1816"/>
      <c r="AH540" s="1816"/>
      <c r="AI540" s="1816"/>
      <c r="AJ540" s="1816"/>
      <c r="AK540" s="1816"/>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2" t="s">
        <v>193</v>
      </c>
      <c r="AH541" s="1712"/>
      <c r="AI541" s="1712"/>
      <c r="AJ541" s="1712"/>
      <c r="AK541" s="18"/>
      <c r="AL541" s="18"/>
      <c r="AM541" s="21"/>
      <c r="AN541" s="281"/>
      <c r="BE541" s="1704" t="s">
        <v>238</v>
      </c>
      <c r="BF541" s="1705"/>
      <c r="BG541" s="1705"/>
      <c r="BH541" s="1706"/>
      <c r="BI541" s="1704" t="s">
        <v>751</v>
      </c>
      <c r="BJ541" s="1705"/>
      <c r="BK541" s="1705"/>
      <c r="BL541" s="1706"/>
      <c r="BM541" s="1704" t="s">
        <v>752</v>
      </c>
      <c r="BN541" s="1705"/>
      <c r="BO541" s="1705"/>
      <c r="BP541" s="1706"/>
      <c r="BQ541" s="1704" t="s">
        <v>753</v>
      </c>
      <c r="BR541" s="1705"/>
      <c r="BS541" s="1705"/>
      <c r="BT541" s="1706"/>
      <c r="BU541" s="1704" t="s">
        <v>754</v>
      </c>
      <c r="BV541" s="1705"/>
      <c r="BW541" s="1705"/>
      <c r="BX541" s="1706"/>
      <c r="BY541" s="1704" t="s">
        <v>239</v>
      </c>
      <c r="BZ541" s="1705"/>
      <c r="CA541" s="1705"/>
      <c r="CB541" s="1706"/>
      <c r="CC541"/>
      <c r="CG541"/>
      <c r="CH541" s="1203"/>
      <c r="CI541" s="1204"/>
      <c r="CJ541" s="1204"/>
      <c r="CK541" s="1205"/>
    </row>
    <row r="542" spans="1:89" s="4" customFormat="1" ht="12.75" customHeight="1">
      <c r="A542" s="3"/>
      <c r="B542" s="1673" t="s">
        <v>1795</v>
      </c>
      <c r="C542" s="1673"/>
      <c r="D542" s="1673"/>
      <c r="E542" s="1673"/>
      <c r="F542" s="1673"/>
      <c r="G542" s="1673"/>
      <c r="H542" s="1673"/>
      <c r="I542" s="1673"/>
      <c r="J542" s="1673"/>
      <c r="K542" s="1673"/>
      <c r="L542" s="1673"/>
      <c r="M542" s="1673"/>
      <c r="N542" s="1673"/>
      <c r="O542" s="1673"/>
      <c r="P542" s="1673"/>
      <c r="Q542" s="1673"/>
      <c r="R542" s="1673"/>
      <c r="S542" s="1673"/>
      <c r="T542" s="1673"/>
      <c r="U542" s="1673"/>
      <c r="V542" s="1673"/>
      <c r="W542" s="1673"/>
      <c r="X542" s="1673"/>
      <c r="Y542" s="1673"/>
      <c r="Z542" s="1673"/>
      <c r="AA542" s="1673"/>
      <c r="AB542" s="1673"/>
      <c r="AC542" s="1673"/>
      <c r="AD542" s="1673"/>
      <c r="AE542" s="1673"/>
      <c r="AF542" s="1673"/>
      <c r="AG542" s="1673"/>
      <c r="AK542" s="21"/>
      <c r="AL542" s="21"/>
      <c r="AN542" s="281"/>
      <c r="AP542" s="444" t="s">
        <v>648</v>
      </c>
      <c r="AQ542" s="445"/>
      <c r="AR542" s="445"/>
      <c r="AS542" s="445"/>
      <c r="AT542" s="445"/>
      <c r="AU542" s="445"/>
      <c r="AV542" s="446"/>
      <c r="AW542" s="445"/>
      <c r="AX542" s="445"/>
      <c r="AY542" s="446"/>
      <c r="BE542" s="1707">
        <f>IF(CH543=1,0,1)</f>
        <v>0</v>
      </c>
      <c r="BF542" s="1709"/>
      <c r="BG542" s="1709"/>
      <c r="BH542" s="1708"/>
      <c r="BI542" s="1707"/>
      <c r="BJ542" s="1709"/>
      <c r="BK542" s="1709"/>
      <c r="BL542" s="1708"/>
      <c r="BM542" s="1707"/>
      <c r="BN542" s="1709"/>
      <c r="BO542" s="1709"/>
      <c r="BP542" s="1708"/>
      <c r="BQ542" s="1707"/>
      <c r="BR542" s="1709"/>
      <c r="BS542" s="1709"/>
      <c r="BT542" s="1708"/>
      <c r="BU542" s="1704"/>
      <c r="BV542" s="1705"/>
      <c r="BW542" s="1705"/>
      <c r="BX542" s="1706"/>
      <c r="BY542" s="1704"/>
      <c r="BZ542" s="1705"/>
      <c r="CA542" s="1705"/>
      <c r="CB542" s="1706"/>
      <c r="CC542"/>
      <c r="CG542"/>
      <c r="CH542" s="1206"/>
      <c r="CI542" s="1207"/>
      <c r="CJ542" s="1207"/>
      <c r="CK542" s="1208"/>
    </row>
    <row r="543" spans="1:89" s="4" customFormat="1" ht="12.75" customHeight="1">
      <c r="A543" s="20"/>
      <c r="B543" s="1673"/>
      <c r="C543" s="1673"/>
      <c r="D543" s="1673"/>
      <c r="E543" s="1673"/>
      <c r="F543" s="1673"/>
      <c r="G543" s="1673"/>
      <c r="H543" s="1673"/>
      <c r="I543" s="1673"/>
      <c r="J543" s="1673"/>
      <c r="K543" s="1673"/>
      <c r="L543" s="1673"/>
      <c r="M543" s="1673"/>
      <c r="N543" s="1673"/>
      <c r="O543" s="1673"/>
      <c r="P543" s="1673"/>
      <c r="Q543" s="1673"/>
      <c r="R543" s="1673"/>
      <c r="S543" s="1673"/>
      <c r="T543" s="1673"/>
      <c r="U543" s="1673"/>
      <c r="V543" s="1673"/>
      <c r="W543" s="1673"/>
      <c r="X543" s="1673"/>
      <c r="Y543" s="1673"/>
      <c r="Z543" s="1673"/>
      <c r="AA543" s="1673"/>
      <c r="AB543" s="1673"/>
      <c r="AC543" s="1673"/>
      <c r="AD543" s="1673"/>
      <c r="AE543" s="1673"/>
      <c r="AF543" s="1673"/>
      <c r="AG543" s="1673"/>
      <c r="AK543" s="163"/>
      <c r="AL543" s="163"/>
      <c r="AM543" s="163"/>
      <c r="AN543" s="281"/>
      <c r="AP543" s="447" t="s">
        <v>646</v>
      </c>
      <c r="AQ543" s="448"/>
      <c r="AR543" s="448"/>
      <c r="AS543" s="448"/>
      <c r="AT543" s="448"/>
      <c r="AU543" s="1710">
        <f>ROUNDUP(BK565*0.1,0)</f>
        <v>8</v>
      </c>
      <c r="AV543" s="1711"/>
      <c r="AW543" s="448"/>
      <c r="AX543" s="448">
        <f>AU543-AP545</f>
        <v>-3</v>
      </c>
      <c r="AY543" s="449"/>
      <c r="BE543" s="1707"/>
      <c r="BF543" s="1709"/>
      <c r="BG543" s="1709"/>
      <c r="BH543" s="1708"/>
      <c r="BI543" s="1707">
        <f>IF(AND(CH544=1,BE542=0),0,1)</f>
        <v>0</v>
      </c>
      <c r="BJ543" s="1709"/>
      <c r="BK543" s="1709"/>
      <c r="BL543" s="1708"/>
      <c r="BM543" s="1707"/>
      <c r="BN543" s="1709"/>
      <c r="BO543" s="1709"/>
      <c r="BP543" s="1708"/>
      <c r="BQ543" s="1707"/>
      <c r="BR543" s="1709"/>
      <c r="BS543" s="1709"/>
      <c r="BT543" s="1708"/>
      <c r="BU543" s="1704"/>
      <c r="BV543" s="1705"/>
      <c r="BW543" s="1705"/>
      <c r="BX543" s="1706"/>
      <c r="BY543" s="1704"/>
      <c r="BZ543" s="1705"/>
      <c r="CA543" s="1705"/>
      <c r="CB543" s="1706"/>
      <c r="CC543"/>
      <c r="CG543"/>
      <c r="CH543" s="1704">
        <f>IF(OR(Y605=0,Y605&gt;=0.1),1,0)</f>
        <v>1</v>
      </c>
      <c r="CI543" s="1705"/>
      <c r="CJ543" s="1705"/>
      <c r="CK543" s="1706"/>
    </row>
    <row r="544" spans="1:89" s="4" customFormat="1" ht="12.75" customHeight="1">
      <c r="B544" s="1673"/>
      <c r="C544" s="1673"/>
      <c r="D544" s="1673"/>
      <c r="E544" s="1673"/>
      <c r="F544" s="1673"/>
      <c r="G544" s="1673"/>
      <c r="H544" s="1673"/>
      <c r="I544" s="1673"/>
      <c r="J544" s="1673"/>
      <c r="K544" s="1673"/>
      <c r="L544" s="1673"/>
      <c r="M544" s="1673"/>
      <c r="N544" s="1673"/>
      <c r="O544" s="1673"/>
      <c r="P544" s="1673"/>
      <c r="Q544" s="1673"/>
      <c r="R544" s="1673"/>
      <c r="S544" s="1673"/>
      <c r="T544" s="1673"/>
      <c r="U544" s="1673"/>
      <c r="V544" s="1673"/>
      <c r="W544" s="1673"/>
      <c r="X544" s="1673"/>
      <c r="Y544" s="1673"/>
      <c r="Z544" s="1673"/>
      <c r="AA544" s="1673"/>
      <c r="AB544" s="1673"/>
      <c r="AC544" s="1673"/>
      <c r="AD544" s="1673"/>
      <c r="AE544" s="1673"/>
      <c r="AF544" s="1673"/>
      <c r="AG544" s="1673"/>
      <c r="AH544" s="162"/>
      <c r="AI544" s="162"/>
      <c r="AJ544" s="162"/>
      <c r="AK544" s="163"/>
      <c r="AL544" s="163"/>
      <c r="AM544" s="163"/>
      <c r="AN544" s="281"/>
      <c r="AP544" s="447"/>
      <c r="AQ544" s="448"/>
      <c r="AR544" s="448"/>
      <c r="AS544" s="448"/>
      <c r="AT544" s="448"/>
      <c r="AU544" s="448"/>
      <c r="AV544" s="449"/>
      <c r="AW544" s="448"/>
      <c r="AX544" s="448"/>
      <c r="AY544" s="449"/>
      <c r="BE544" s="1707"/>
      <c r="BF544" s="1709"/>
      <c r="BG544" s="1709"/>
      <c r="BH544" s="1708"/>
      <c r="BI544" s="1707"/>
      <c r="BJ544" s="1709"/>
      <c r="BK544" s="1709"/>
      <c r="BL544" s="1708"/>
      <c r="BM544" s="1707">
        <f>IF(AND(AND(CH545=1,BI543=0,BE542=0)),0,1)</f>
        <v>0</v>
      </c>
      <c r="BN544" s="1709"/>
      <c r="BO544" s="1709"/>
      <c r="BP544" s="1708"/>
      <c r="BQ544" s="1707"/>
      <c r="BR544" s="1709"/>
      <c r="BS544" s="1709"/>
      <c r="BT544" s="1708"/>
      <c r="BU544" s="1704"/>
      <c r="BV544" s="1705"/>
      <c r="BW544" s="1705"/>
      <c r="BX544" s="1706"/>
      <c r="BY544" s="1704"/>
      <c r="BZ544" s="1705"/>
      <c r="CA544" s="1705"/>
      <c r="CB544" s="1706"/>
      <c r="CC544"/>
      <c r="CG544"/>
      <c r="CH544" s="1704">
        <f>IF(OR(Y606=0,Y606&gt;=0.1),1,0)</f>
        <v>1</v>
      </c>
      <c r="CI544" s="1705"/>
      <c r="CJ544" s="1705"/>
      <c r="CK544" s="1706"/>
    </row>
    <row r="545" spans="2:89" s="4" customFormat="1" ht="12.75" customHeight="1">
      <c r="B545" s="1673"/>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H545" s="162"/>
      <c r="AI545" s="162"/>
      <c r="AJ545" s="162"/>
      <c r="AK545" s="163"/>
      <c r="AL545" s="163"/>
      <c r="AM545" s="163"/>
      <c r="AN545" s="281"/>
      <c r="AP545" s="1739">
        <f>SUM(T605:X609)</f>
        <v>11</v>
      </c>
      <c r="AQ545" s="1740"/>
      <c r="AR545" s="1740"/>
      <c r="AS545" s="1740"/>
      <c r="AT545" s="1741"/>
      <c r="AU545" s="448"/>
      <c r="AV545" s="449"/>
      <c r="AW545" s="448"/>
      <c r="AX545" s="448"/>
      <c r="AY545" s="449"/>
      <c r="BE545" s="1707"/>
      <c r="BF545" s="1709"/>
      <c r="BG545" s="1709"/>
      <c r="BH545" s="1708"/>
      <c r="BI545" s="1707"/>
      <c r="BJ545" s="1709"/>
      <c r="BK545" s="1709"/>
      <c r="BL545" s="1708"/>
      <c r="BM545" s="1707"/>
      <c r="BN545" s="1709"/>
      <c r="BO545" s="1709"/>
      <c r="BP545" s="1708"/>
      <c r="BQ545" s="1707">
        <f>IF(AND(AND(AND(CH546=1,BM544=0,BI543=0,BE542=0))),0,1)</f>
        <v>0</v>
      </c>
      <c r="BR545" s="1709"/>
      <c r="BS545" s="1709"/>
      <c r="BT545" s="1708"/>
      <c r="BU545" s="1704"/>
      <c r="BV545" s="1705"/>
      <c r="BW545" s="1705"/>
      <c r="BX545" s="1706"/>
      <c r="BY545" s="1704"/>
      <c r="BZ545" s="1705"/>
      <c r="CA545" s="1705"/>
      <c r="CB545" s="1706"/>
      <c r="CC545"/>
      <c r="CG545"/>
      <c r="CH545" s="1704">
        <f>IF(OR(Y607=0,Y607&gt;=0.1),1,0)</f>
        <v>1</v>
      </c>
      <c r="CI545" s="1705"/>
      <c r="CJ545" s="1705"/>
      <c r="CK545" s="1706"/>
    </row>
    <row r="546" spans="2:89" s="4" customFormat="1" ht="12.75" customHeight="1">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H546" s="162"/>
      <c r="AI546" s="162"/>
      <c r="AJ546" s="162"/>
      <c r="AK546" s="163"/>
      <c r="AL546" s="163"/>
      <c r="AM546" s="163"/>
      <c r="AN546" s="281"/>
      <c r="AP546" s="450"/>
      <c r="AQ546" s="451"/>
      <c r="AR546" s="451"/>
      <c r="AS546" s="451"/>
      <c r="AT546" s="452" t="s">
        <v>641</v>
      </c>
      <c r="AU546" s="1710" t="str">
        <f>IF(AP545&gt;=AU543,"passed","failed")</f>
        <v>passed</v>
      </c>
      <c r="AV546" s="1842"/>
      <c r="AW546" s="1711"/>
      <c r="AX546" s="453"/>
      <c r="AY546" s="454"/>
      <c r="BE546" s="1707"/>
      <c r="BF546" s="1709"/>
      <c r="BG546" s="1709"/>
      <c r="BH546" s="1708"/>
      <c r="BI546" s="1707"/>
      <c r="BJ546" s="1709"/>
      <c r="BK546" s="1709"/>
      <c r="BL546" s="1708"/>
      <c r="BM546" s="1707"/>
      <c r="BN546" s="1709"/>
      <c r="BO546" s="1709"/>
      <c r="BP546" s="1708"/>
      <c r="BQ546" s="1707"/>
      <c r="BR546" s="1709"/>
      <c r="BS546" s="1709"/>
      <c r="BT546" s="1708"/>
      <c r="BU546" s="1707">
        <f>IF(AND(AND(AND(AND(CH547=1,BQ545=0,BM544=0,BI543=0,BE542=0)))),0,1)</f>
        <v>0</v>
      </c>
      <c r="BV546" s="1709"/>
      <c r="BW546" s="1709"/>
      <c r="BX546" s="1708"/>
      <c r="BY546" s="1704"/>
      <c r="BZ546" s="1705"/>
      <c r="CA546" s="1705"/>
      <c r="CB546" s="1706"/>
      <c r="CC546"/>
      <c r="CD546"/>
      <c r="CE546"/>
      <c r="CF546"/>
      <c r="CG546"/>
      <c r="CH546" s="1704">
        <f>IF(OR(Y608=0,Y608&gt;=0.1),1,0)</f>
        <v>1</v>
      </c>
      <c r="CI546" s="1705"/>
      <c r="CJ546" s="1705"/>
      <c r="CK546" s="1706"/>
    </row>
    <row r="547" spans="2:89" s="4" customFormat="1" ht="13.7"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BE547" s="1707">
        <f>SUM(BE542:BH546)</f>
        <v>0</v>
      </c>
      <c r="BF547" s="1709"/>
      <c r="BG547" s="1709"/>
      <c r="BH547" s="1708"/>
      <c r="BI547" s="1707">
        <f>SUM(BI542:BL546)</f>
        <v>0</v>
      </c>
      <c r="BJ547" s="1709"/>
      <c r="BK547" s="1709"/>
      <c r="BL547" s="1708"/>
      <c r="BM547" s="1707">
        <f>SUM(BM542:BP546)</f>
        <v>0</v>
      </c>
      <c r="BN547" s="1709"/>
      <c r="BO547" s="1709"/>
      <c r="BP547" s="1708"/>
      <c r="BQ547" s="1707">
        <f>SUM(BQ542:BT546)</f>
        <v>0</v>
      </c>
      <c r="BR547" s="1709"/>
      <c r="BS547" s="1709"/>
      <c r="BT547" s="1708"/>
      <c r="BU547" s="1707">
        <f>SUM(BU542:BX546)</f>
        <v>0</v>
      </c>
      <c r="BV547" s="1709"/>
      <c r="BW547" s="1709"/>
      <c r="BX547" s="1708"/>
      <c r="BY547" s="1707">
        <f>SUM(BY542:CB546)</f>
        <v>0</v>
      </c>
      <c r="BZ547" s="1709"/>
      <c r="CA547" s="1709"/>
      <c r="CB547" s="1708"/>
      <c r="CC547" s="1704">
        <f>IF(AND(CH543=1,T605&gt;0),0,SUM(BE547:CB547))</f>
        <v>0</v>
      </c>
      <c r="CD547" s="1705"/>
      <c r="CE547" s="1705"/>
      <c r="CF547" s="1706"/>
      <c r="CG547"/>
      <c r="CH547" s="1704">
        <f>IF(OR(Y609=0,Y609&gt;=0.1),1,0)</f>
        <v>1</v>
      </c>
      <c r="CI547" s="1705"/>
      <c r="CJ547" s="1705"/>
      <c r="CK547" s="1706"/>
    </row>
    <row r="548" spans="2:89" s="4" customFormat="1" ht="12.4" customHeight="1">
      <c r="B548" s="1846" t="s">
        <v>1568</v>
      </c>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c r="AC548" s="1846"/>
      <c r="AD548" s="1846"/>
      <c r="AE548" s="1846"/>
      <c r="AF548" s="1846"/>
      <c r="AG548" s="1846"/>
      <c r="AH548" s="162"/>
      <c r="AI548" s="162"/>
      <c r="AJ548" s="162"/>
      <c r="AK548" s="163"/>
      <c r="AL548" s="163"/>
      <c r="AM548" s="163"/>
      <c r="AN548" s="281"/>
    </row>
    <row r="549" spans="2:89" s="4" customFormat="1" ht="21" customHeight="1">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c r="AC549" s="1846"/>
      <c r="AD549" s="1846"/>
      <c r="AE549" s="1846"/>
      <c r="AF549" s="1846"/>
      <c r="AG549" s="1846"/>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6" t="s">
        <v>1839</v>
      </c>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c r="AC550" s="1846"/>
      <c r="AD550" s="1846"/>
      <c r="AE550" s="1846"/>
      <c r="AF550" s="1846"/>
      <c r="AG550" s="693"/>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62"/>
      <c r="AH551" s="162"/>
      <c r="AI551" s="162"/>
      <c r="AJ551" s="162"/>
      <c r="AK551" s="163"/>
      <c r="AL551" s="163"/>
      <c r="AM551" s="163"/>
      <c r="AN551" s="281"/>
      <c r="AP551" s="150"/>
      <c r="AQ551" s="151"/>
      <c r="AR551" s="151"/>
      <c r="AS551" s="151"/>
      <c r="AT551" s="157" t="s">
        <v>641</v>
      </c>
      <c r="AU551" s="151"/>
      <c r="AV551" s="1707" t="str">
        <f>IF(BJ587&gt;0,"failed","passed")</f>
        <v>failed</v>
      </c>
      <c r="AW551" s="1709"/>
      <c r="AX551" s="1709"/>
      <c r="AY551" s="1708"/>
    </row>
    <row r="552" spans="2:89" s="4" customFormat="1" ht="12.4" customHeight="1">
      <c r="B552" s="694" t="s">
        <v>1572</v>
      </c>
      <c r="C552" s="695"/>
      <c r="D552" s="695"/>
      <c r="E552" s="695"/>
      <c r="F552" s="695"/>
      <c r="G552" s="695"/>
      <c r="H552" s="695"/>
      <c r="I552" s="695"/>
      <c r="J552" s="695"/>
      <c r="K552" s="695"/>
      <c r="L552" s="695"/>
      <c r="M552" s="695"/>
      <c r="N552" s="695"/>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0" t="s">
        <v>1569</v>
      </c>
      <c r="R554" s="1880"/>
      <c r="S554" s="1880"/>
      <c r="T554" s="1880"/>
      <c r="U554" s="1880"/>
      <c r="V554" s="1880"/>
      <c r="W554" s="1880"/>
      <c r="X554" s="1880"/>
      <c r="Y554" s="1880"/>
      <c r="Z554" s="1880"/>
      <c r="AA554" s="1880"/>
      <c r="AB554" s="1880"/>
      <c r="AC554" s="1880"/>
      <c r="AD554" s="1880"/>
      <c r="AE554" s="1880"/>
      <c r="AF554" s="1880"/>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0"/>
      <c r="R555" s="1880"/>
      <c r="S555" s="1880"/>
      <c r="T555" s="1880"/>
      <c r="U555" s="1880"/>
      <c r="V555" s="1880"/>
      <c r="W555" s="1880"/>
      <c r="X555" s="1880"/>
      <c r="Y555" s="1880"/>
      <c r="Z555" s="1880"/>
      <c r="AA555" s="1880"/>
      <c r="AB555" s="1880"/>
      <c r="AC555" s="1880"/>
      <c r="AD555" s="1880"/>
      <c r="AE555" s="1880"/>
      <c r="AF555" s="1880"/>
      <c r="AN555" s="281"/>
      <c r="AP555" s="53" t="s">
        <v>747</v>
      </c>
      <c r="AQ555" s="54"/>
      <c r="AR555" s="54"/>
      <c r="AS555" s="54"/>
      <c r="AT555" s="54"/>
      <c r="AU555" s="54"/>
      <c r="AV555" s="54"/>
      <c r="AW555" s="54"/>
      <c r="AX555" s="54"/>
      <c r="AY555" s="54"/>
      <c r="AZ555" s="54"/>
      <c r="BA555" s="54"/>
      <c r="BB555" s="54"/>
      <c r="BC555" s="8"/>
      <c r="BD555" s="432" t="str">
        <f>IF(CN574=0,"passed","failed")</f>
        <v>passed</v>
      </c>
      <c r="BE555" s="433"/>
      <c r="BF555" s="433"/>
      <c r="BG555" s="434"/>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1" t="s">
        <v>1838</v>
      </c>
      <c r="R556" s="1692"/>
      <c r="S556" s="1756" t="s">
        <v>218</v>
      </c>
      <c r="T556" s="1756"/>
      <c r="U556" s="1691">
        <v>0.5</v>
      </c>
      <c r="V556" s="1692"/>
      <c r="W556" s="1691">
        <v>0.45</v>
      </c>
      <c r="X556" s="1692"/>
      <c r="Y556" s="1691">
        <v>0.4</v>
      </c>
      <c r="Z556" s="1692"/>
      <c r="AA556" s="1691">
        <v>0.35</v>
      </c>
      <c r="AB556" s="1692"/>
      <c r="AC556" s="1840">
        <v>0.3</v>
      </c>
      <c r="AD556" s="1841"/>
      <c r="AE556" s="1691">
        <v>0.2</v>
      </c>
      <c r="AF556" s="169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8"/>
      <c r="P557" s="1689"/>
      <c r="Q557" s="1887"/>
      <c r="R557" s="1847"/>
      <c r="S557" s="1855"/>
      <c r="T557" s="1855"/>
      <c r="U557" s="1847"/>
      <c r="V557" s="1847"/>
      <c r="W557" s="1847"/>
      <c r="X557" s="1847"/>
      <c r="Y557" s="1847"/>
      <c r="Z557" s="1847"/>
      <c r="AA557" s="1850"/>
      <c r="AB557" s="1850"/>
      <c r="AC557" s="1847"/>
      <c r="AD557" s="1847"/>
      <c r="AE557" s="1838"/>
      <c r="AF557" s="1839"/>
      <c r="AN557" s="281"/>
      <c r="AP557" s="144" t="s">
        <v>748</v>
      </c>
      <c r="AQ557" s="9"/>
      <c r="AR557" s="9"/>
      <c r="AS557" s="9"/>
      <c r="AT557" s="1704" t="str">
        <f>IF(OR(AV551="passed",BD555="passed"),"passed","failed")</f>
        <v>passed</v>
      </c>
      <c r="AU557" s="1705"/>
      <c r="AV557" s="1705"/>
      <c r="AW557" s="1705"/>
      <c r="AX557" s="1706"/>
    </row>
    <row r="558" spans="2:89" s="4" customFormat="1" ht="12.75" customHeight="1">
      <c r="B558" s="63"/>
      <c r="I558" s="220"/>
      <c r="J558" s="162"/>
      <c r="N558" s="5"/>
      <c r="O558" s="1688"/>
      <c r="P558" s="1689"/>
      <c r="Q558" s="1854"/>
      <c r="R558" s="1681"/>
      <c r="S558" s="1681"/>
      <c r="T558" s="1681"/>
      <c r="U558" s="1681"/>
      <c r="V558" s="1681"/>
      <c r="W558" s="1681"/>
      <c r="X558" s="1681"/>
      <c r="Y558" s="1654"/>
      <c r="Z558" s="1654"/>
      <c r="AA558" s="1681"/>
      <c r="AB558" s="1681"/>
      <c r="AC558" s="1654"/>
      <c r="AD558" s="1654"/>
      <c r="AE558" s="1734"/>
      <c r="AF558" s="1735"/>
      <c r="AN558" s="281"/>
      <c r="AP558"/>
      <c r="AQ558"/>
      <c r="AR558"/>
      <c r="AS558"/>
      <c r="AT558"/>
      <c r="AU558"/>
      <c r="AV558"/>
      <c r="AW558"/>
      <c r="AX558"/>
      <c r="AY558"/>
    </row>
    <row r="559" spans="2:89" s="4" customFormat="1" ht="12.75" customHeight="1">
      <c r="B559" s="63"/>
      <c r="I559" s="220"/>
      <c r="J559" s="162"/>
      <c r="N559" s="5"/>
      <c r="O559" s="1688"/>
      <c r="P559" s="1689"/>
      <c r="Q559" s="1854"/>
      <c r="R559" s="1681"/>
      <c r="S559" s="1681"/>
      <c r="T559" s="1681"/>
      <c r="U559" s="1681"/>
      <c r="V559" s="1681"/>
      <c r="W559" s="1681"/>
      <c r="X559" s="1681"/>
      <c r="Y559" s="1681"/>
      <c r="Z559" s="1681"/>
      <c r="AA559" s="1654"/>
      <c r="AB559" s="1654"/>
      <c r="AC559" s="1681"/>
      <c r="AD559" s="1681"/>
      <c r="AE559" s="1677"/>
      <c r="AF559" s="1678"/>
      <c r="AN559" s="281"/>
      <c r="AP559" s="153" t="s">
        <v>642</v>
      </c>
      <c r="AQ559" s="154"/>
      <c r="AR559" s="154"/>
      <c r="AS559" s="154"/>
      <c r="AT559" s="154"/>
      <c r="AU559" s="154"/>
      <c r="AV559" s="155"/>
      <c r="AW559" s="1843" t="str">
        <f>IF(AND(AND(AND(AND(AS539="passed",AU546="passed",BD555="passed",SUM(T605:X609)&gt;1)))),"YES","NO")</f>
        <v>YES</v>
      </c>
      <c r="AX559" s="1844"/>
      <c r="AY559" s="1845"/>
      <c r="AZ559" s="40"/>
      <c r="BA559" s="40"/>
      <c r="BB559" s="40"/>
      <c r="BC559" s="40"/>
      <c r="BD559" s="40"/>
      <c r="BE559" s="21"/>
      <c r="BF559" s="21"/>
      <c r="BG559" s="21"/>
    </row>
    <row r="560" spans="2:89" s="4" customFormat="1" ht="12.75" customHeight="1">
      <c r="B560" s="63"/>
      <c r="I560" s="220"/>
      <c r="J560" s="162"/>
      <c r="N560" s="5"/>
      <c r="O560" s="1688"/>
      <c r="P560" s="1689"/>
      <c r="Q560" s="1854"/>
      <c r="R560" s="1681"/>
      <c r="S560" s="1681"/>
      <c r="T560" s="1681"/>
      <c r="U560" s="1681"/>
      <c r="V560" s="1681"/>
      <c r="W560" s="1681"/>
      <c r="X560" s="1681"/>
      <c r="Y560" s="1654"/>
      <c r="Z560" s="1654"/>
      <c r="AA560" s="1681"/>
      <c r="AB560" s="1681"/>
      <c r="AC560" s="1654"/>
      <c r="AD560" s="1654"/>
      <c r="AE560" s="1734"/>
      <c r="AF560" s="1735"/>
      <c r="AN560" s="281"/>
    </row>
    <row r="561" spans="1:96" s="4" customFormat="1" ht="12.75" customHeight="1">
      <c r="B561" s="63"/>
      <c r="I561" s="220"/>
      <c r="J561" s="162"/>
      <c r="N561" s="5"/>
      <c r="O561" s="1688"/>
      <c r="P561" s="1689"/>
      <c r="Q561" s="1854"/>
      <c r="R561" s="1681"/>
      <c r="S561" s="1681"/>
      <c r="T561" s="1681"/>
      <c r="U561" s="1681"/>
      <c r="V561" s="1681"/>
      <c r="W561" s="1654"/>
      <c r="X561" s="1654"/>
      <c r="Y561" s="1681"/>
      <c r="Z561" s="1681"/>
      <c r="AA561" s="1654"/>
      <c r="AB561" s="1654"/>
      <c r="AC561" s="1681"/>
      <c r="AD561" s="1681"/>
      <c r="AE561" s="1677"/>
      <c r="AF561" s="1678"/>
      <c r="AN561" s="281"/>
    </row>
    <row r="562" spans="1:96" s="4" customFormat="1" ht="12.75" customHeight="1">
      <c r="B562" s="63"/>
      <c r="I562" s="220"/>
      <c r="J562" s="162"/>
      <c r="N562" s="5"/>
      <c r="O562" s="1688"/>
      <c r="P562" s="1689"/>
      <c r="Q562" s="1854"/>
      <c r="R562" s="1681"/>
      <c r="S562" s="1681"/>
      <c r="T562" s="1681"/>
      <c r="U562" s="1681"/>
      <c r="V562" s="1681"/>
      <c r="W562" s="1681"/>
      <c r="X562" s="1681"/>
      <c r="Y562" s="1654"/>
      <c r="Z562" s="1654"/>
      <c r="AA562" s="1681"/>
      <c r="AB562" s="1681"/>
      <c r="AC562" s="1654"/>
      <c r="AD562" s="1654"/>
      <c r="AE562" s="1734"/>
      <c r="AF562" s="1735"/>
      <c r="AN562" s="281"/>
      <c r="AU562" s="21"/>
      <c r="AV562" s="21"/>
      <c r="AW562" s="8"/>
      <c r="AX562" s="9"/>
      <c r="AY562" s="9"/>
      <c r="AZ562" s="60" t="s">
        <v>1172</v>
      </c>
      <c r="BA562" s="1823" t="s">
        <v>749</v>
      </c>
      <c r="BB562" s="1824"/>
      <c r="BC562" s="1824"/>
      <c r="BD562" s="1824"/>
      <c r="BE562" s="1825"/>
      <c r="BF562" s="1851">
        <f>SUM(O605:S609)</f>
        <v>73</v>
      </c>
      <c r="BG562" s="1852"/>
      <c r="BH562" s="1852"/>
      <c r="BI562" s="1852"/>
      <c r="BJ562" s="1853"/>
      <c r="BK562" s="1658">
        <f>SUM(T605:X609)</f>
        <v>11</v>
      </c>
      <c r="BL562" s="1659"/>
      <c r="BM562" s="1659"/>
      <c r="BN562" s="1659"/>
      <c r="BO562" s="1660"/>
    </row>
    <row r="563" spans="1:96" s="4" customFormat="1" ht="12.75" customHeight="1">
      <c r="B563" s="35"/>
      <c r="I563" s="1555" t="s">
        <v>1567</v>
      </c>
      <c r="J563" s="1556"/>
      <c r="K563" s="1556"/>
      <c r="L563" s="1556"/>
      <c r="M563" s="1556"/>
      <c r="N563" s="1557"/>
      <c r="O563" s="1688">
        <v>0.5</v>
      </c>
      <c r="P563" s="1689"/>
      <c r="Q563" s="1890"/>
      <c r="R563" s="1733"/>
      <c r="S563" s="1681"/>
      <c r="T563" s="1681"/>
      <c r="U563" s="1879" t="s">
        <v>1571</v>
      </c>
      <c r="V563" s="1879"/>
      <c r="W563" s="1889">
        <v>37.5</v>
      </c>
      <c r="X563" s="1889"/>
      <c r="Y563" s="1733"/>
      <c r="Z563" s="1733"/>
      <c r="AA563" s="1889"/>
      <c r="AB563" s="1889"/>
      <c r="AC563" s="1733"/>
      <c r="AD563" s="1733"/>
      <c r="AE563" s="1848"/>
      <c r="AF563" s="1849"/>
      <c r="AN563" s="281"/>
      <c r="CL563"/>
      <c r="CM563"/>
    </row>
    <row r="564" spans="1:96" s="4" customFormat="1" ht="12.75" customHeight="1">
      <c r="B564" s="120"/>
      <c r="C564" s="61"/>
      <c r="I564" s="1555"/>
      <c r="J564" s="1556"/>
      <c r="K564" s="1556"/>
      <c r="L564" s="1556"/>
      <c r="M564" s="1556"/>
      <c r="N564" s="1557"/>
      <c r="O564" s="1688">
        <v>0.45</v>
      </c>
      <c r="P564" s="1689"/>
      <c r="Q564" s="1854"/>
      <c r="R564" s="1681"/>
      <c r="S564" s="1681"/>
      <c r="T564" s="1681"/>
      <c r="U564" s="1653" t="s">
        <v>140</v>
      </c>
      <c r="V564" s="1653"/>
      <c r="W564" s="1654">
        <v>33.799999999999997</v>
      </c>
      <c r="X564" s="1654"/>
      <c r="Y564" s="1654"/>
      <c r="Z564" s="1654"/>
      <c r="AA564" s="1681"/>
      <c r="AB564" s="1681"/>
      <c r="AC564" s="1654"/>
      <c r="AD564" s="1654"/>
      <c r="AE564" s="1734"/>
      <c r="AF564" s="1735"/>
      <c r="AN564" s="281"/>
      <c r="CL564"/>
      <c r="CM564"/>
    </row>
    <row r="565" spans="1:96" s="4" customFormat="1" ht="12.75" customHeight="1">
      <c r="B565" s="5"/>
      <c r="C565" s="5"/>
      <c r="D565" s="5"/>
      <c r="E565" s="5"/>
      <c r="I565" s="1555"/>
      <c r="J565" s="1556"/>
      <c r="K565" s="1556"/>
      <c r="L565" s="1556"/>
      <c r="M565" s="1556"/>
      <c r="N565" s="1557"/>
      <c r="O565" s="1688">
        <v>0.4</v>
      </c>
      <c r="P565" s="1689"/>
      <c r="Q565" s="1854"/>
      <c r="R565" s="1681"/>
      <c r="S565" s="1653" t="s">
        <v>1570</v>
      </c>
      <c r="T565" s="1653"/>
      <c r="U565" s="1654">
        <v>20</v>
      </c>
      <c r="V565" s="1654"/>
      <c r="W565" s="1654">
        <v>30</v>
      </c>
      <c r="X565" s="1654"/>
      <c r="Y565" s="1654"/>
      <c r="Z565" s="1654"/>
      <c r="AA565" s="1654"/>
      <c r="AB565" s="1654"/>
      <c r="AC565" s="1654"/>
      <c r="AD565" s="1654"/>
      <c r="AE565" s="1734"/>
      <c r="AF565" s="1735"/>
      <c r="AN565" s="281"/>
      <c r="AP565" s="1727" t="s">
        <v>219</v>
      </c>
      <c r="AQ565" s="1728"/>
      <c r="AR565" s="1728"/>
      <c r="AS565" s="1728"/>
      <c r="AT565" s="1728"/>
      <c r="AU565" s="1728"/>
      <c r="AV565" s="1728"/>
      <c r="AW565" s="1728"/>
      <c r="AX565" s="1728"/>
      <c r="AY565" s="1728"/>
      <c r="AZ565" s="1728"/>
      <c r="BA565" s="1728"/>
      <c r="BB565" s="1728"/>
      <c r="BC565" s="1728"/>
      <c r="BD565" s="1728"/>
      <c r="BE565" s="1728"/>
      <c r="BF565" s="1728"/>
      <c r="BG565" s="1728"/>
      <c r="BH565" s="1728"/>
      <c r="BI565" s="1728"/>
      <c r="BJ565" s="1729"/>
      <c r="BK565" s="1832">
        <f>BF562</f>
        <v>73</v>
      </c>
      <c r="BL565" s="1833"/>
      <c r="BM565" s="1833"/>
      <c r="BN565" s="1833"/>
      <c r="BO565" s="183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5"/>
      <c r="J566" s="1556"/>
      <c r="K566" s="1556"/>
      <c r="L566" s="1556"/>
      <c r="M566" s="1556"/>
      <c r="N566" s="1557"/>
      <c r="O566" s="1688">
        <v>0.35</v>
      </c>
      <c r="P566" s="1689"/>
      <c r="Q566" s="1854"/>
      <c r="R566" s="1681"/>
      <c r="S566" s="1653" t="s">
        <v>1840</v>
      </c>
      <c r="T566" s="1653"/>
      <c r="U566" s="1654">
        <v>17.5</v>
      </c>
      <c r="V566" s="1654"/>
      <c r="W566" s="1654">
        <v>26.3</v>
      </c>
      <c r="X566" s="1654"/>
      <c r="Y566" s="1654">
        <v>35</v>
      </c>
      <c r="Z566" s="1654"/>
      <c r="AA566" s="1654"/>
      <c r="AB566" s="1654"/>
      <c r="AC566" s="1654">
        <v>50</v>
      </c>
      <c r="AD566" s="1654"/>
      <c r="AE566" s="1734"/>
      <c r="AF566" s="1735"/>
      <c r="AN566" s="281"/>
      <c r="AP566" s="1730"/>
      <c r="AQ566" s="1731"/>
      <c r="AR566" s="1731"/>
      <c r="AS566" s="1731"/>
      <c r="AT566" s="1731"/>
      <c r="AU566" s="1731"/>
      <c r="AV566" s="1731"/>
      <c r="AW566" s="1731"/>
      <c r="AX566" s="1731"/>
      <c r="AY566" s="1731"/>
      <c r="AZ566" s="1731"/>
      <c r="BA566" s="1731"/>
      <c r="BB566" s="1731"/>
      <c r="BC566" s="1731"/>
      <c r="BD566" s="1731"/>
      <c r="BE566" s="1731"/>
      <c r="BF566" s="1731"/>
      <c r="BG566" s="1731"/>
      <c r="BH566" s="1731"/>
      <c r="BI566" s="1731"/>
      <c r="BJ566" s="1732"/>
      <c r="BK566" s="1835"/>
      <c r="BL566" s="1836"/>
      <c r="BM566" s="1836"/>
      <c r="BN566" s="1836"/>
      <c r="BO566" s="183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5"/>
      <c r="J567" s="1556"/>
      <c r="K567" s="1556"/>
      <c r="L567" s="1556"/>
      <c r="M567" s="1556"/>
      <c r="N567" s="1557"/>
      <c r="O567" s="1688">
        <v>0.3</v>
      </c>
      <c r="P567" s="1689"/>
      <c r="Q567" s="1854"/>
      <c r="R567" s="1681"/>
      <c r="S567" s="1653" t="s">
        <v>1841</v>
      </c>
      <c r="T567" s="1653"/>
      <c r="U567" s="1654">
        <v>15</v>
      </c>
      <c r="V567" s="1654"/>
      <c r="W567" s="1654">
        <v>22.5</v>
      </c>
      <c r="X567" s="1654"/>
      <c r="Y567" s="1654">
        <v>30</v>
      </c>
      <c r="Z567" s="1654"/>
      <c r="AA567" s="1654">
        <v>37.5</v>
      </c>
      <c r="AB567" s="1654"/>
      <c r="AC567" s="1654">
        <v>45</v>
      </c>
      <c r="AD567" s="1654"/>
      <c r="AE567" s="1734"/>
      <c r="AF567" s="1735"/>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5"/>
      <c r="J568" s="1556"/>
      <c r="K568" s="1556"/>
      <c r="L568" s="1556"/>
      <c r="M568" s="1556"/>
      <c r="N568" s="1557"/>
      <c r="O568" s="1688">
        <v>0.25</v>
      </c>
      <c r="P568" s="1689"/>
      <c r="Q568" s="1854"/>
      <c r="R568" s="1681"/>
      <c r="S568" s="1653" t="s">
        <v>1842</v>
      </c>
      <c r="T568" s="1653"/>
      <c r="U568" s="1654">
        <v>12.5</v>
      </c>
      <c r="V568" s="1654"/>
      <c r="W568" s="1654">
        <v>18.8</v>
      </c>
      <c r="X568" s="1654"/>
      <c r="Y568" s="1654">
        <v>25</v>
      </c>
      <c r="Z568" s="1654"/>
      <c r="AA568" s="1654">
        <v>31.3</v>
      </c>
      <c r="AB568" s="1654"/>
      <c r="AC568" s="1654">
        <v>37.5</v>
      </c>
      <c r="AD568" s="1654"/>
      <c r="AE568" s="1734">
        <v>50</v>
      </c>
      <c r="AF568" s="1735"/>
      <c r="AN568" s="281"/>
      <c r="AP568" s="1828" t="str">
        <f t="shared" ref="AP568:AP574" si="0">J604</f>
        <v>5 BR</v>
      </c>
      <c r="AQ568" s="1829"/>
      <c r="AR568" s="1829"/>
      <c r="AS568" s="1829"/>
      <c r="AT568" s="1830"/>
      <c r="AU568" s="1069">
        <f t="shared" ref="AU568:AU573" si="1">O604</f>
        <v>0</v>
      </c>
      <c r="AV568" s="1070"/>
      <c r="AW568" s="1070"/>
      <c r="AX568" s="1070"/>
      <c r="AY568" s="1071"/>
      <c r="AZ568" s="1069">
        <f t="shared" ref="AZ568:AZ573" si="2">T604</f>
        <v>0</v>
      </c>
      <c r="BA568" s="1070"/>
      <c r="BB568" s="1070"/>
      <c r="BC568" s="1070"/>
      <c r="BD568" s="1071"/>
      <c r="BE568" s="1446">
        <f t="shared" ref="BE568:BE573" si="3">Y604</f>
        <v>0</v>
      </c>
      <c r="BF568" s="1447"/>
      <c r="BG568" s="1447"/>
      <c r="BH568" s="1447"/>
      <c r="BI568" s="1448"/>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5"/>
      <c r="J569" s="1556"/>
      <c r="K569" s="1556"/>
      <c r="L569" s="1556"/>
      <c r="M569" s="1556"/>
      <c r="N569" s="1557"/>
      <c r="O569" s="1688">
        <v>0.2</v>
      </c>
      <c r="P569" s="1689"/>
      <c r="Q569" s="1854"/>
      <c r="R569" s="1681"/>
      <c r="S569" s="1886" t="s">
        <v>1845</v>
      </c>
      <c r="T569" s="1886"/>
      <c r="U569" s="1654">
        <v>10</v>
      </c>
      <c r="V569" s="1654"/>
      <c r="W569" s="1654">
        <v>15</v>
      </c>
      <c r="X569" s="1654"/>
      <c r="Y569" s="1654">
        <v>20</v>
      </c>
      <c r="Z569" s="1654"/>
      <c r="AA569" s="1654">
        <v>25</v>
      </c>
      <c r="AB569" s="1654"/>
      <c r="AC569" s="1654">
        <v>30</v>
      </c>
      <c r="AD569" s="1654"/>
      <c r="AE569" s="1734">
        <v>40</v>
      </c>
      <c r="AF569" s="1735"/>
      <c r="AN569" s="281"/>
      <c r="AP569" s="1828" t="str">
        <f t="shared" si="0"/>
        <v>4 BR</v>
      </c>
      <c r="AQ569" s="1829"/>
      <c r="AR569" s="1829"/>
      <c r="AS569" s="1829"/>
      <c r="AT569" s="1830"/>
      <c r="AU569" s="1069">
        <f t="shared" si="1"/>
        <v>0</v>
      </c>
      <c r="AV569" s="1070"/>
      <c r="AW569" s="1070"/>
      <c r="AX569" s="1070"/>
      <c r="AY569" s="1071"/>
      <c r="AZ569" s="1069">
        <f t="shared" si="2"/>
        <v>0</v>
      </c>
      <c r="BA569" s="1070"/>
      <c r="BB569" s="1070"/>
      <c r="BC569" s="1070"/>
      <c r="BD569" s="1071"/>
      <c r="BE569" s="1446">
        <f t="shared" si="3"/>
        <v>0</v>
      </c>
      <c r="BF569" s="1447"/>
      <c r="BG569" s="1447"/>
      <c r="BH569" s="1447"/>
      <c r="BI569" s="1448"/>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5"/>
      <c r="J570" s="1556"/>
      <c r="K570" s="1556"/>
      <c r="L570" s="1556"/>
      <c r="M570" s="1556"/>
      <c r="N570" s="1557"/>
      <c r="O570" s="1688">
        <v>0.15</v>
      </c>
      <c r="P570" s="1689"/>
      <c r="Q570" s="1854"/>
      <c r="R570" s="1681"/>
      <c r="S570" s="1653" t="s">
        <v>1843</v>
      </c>
      <c r="T570" s="1653"/>
      <c r="U570" s="1654">
        <v>7.5</v>
      </c>
      <c r="V570" s="1654"/>
      <c r="W570" s="1654">
        <v>11.3</v>
      </c>
      <c r="X570" s="1654"/>
      <c r="Y570" s="1654">
        <v>15</v>
      </c>
      <c r="Z570" s="1654"/>
      <c r="AA570" s="1654">
        <v>18.8</v>
      </c>
      <c r="AB570" s="1654"/>
      <c r="AC570" s="1654">
        <v>22.5</v>
      </c>
      <c r="AD570" s="1654"/>
      <c r="AE570" s="1734">
        <v>30</v>
      </c>
      <c r="AF570" s="1735"/>
      <c r="AN570" s="281"/>
      <c r="AP570" s="1828" t="str">
        <f t="shared" si="0"/>
        <v>3 BR</v>
      </c>
      <c r="AQ570" s="1829"/>
      <c r="AR570" s="1829"/>
      <c r="AS570" s="1829"/>
      <c r="AT570" s="1830"/>
      <c r="AU570" s="1069">
        <f t="shared" si="1"/>
        <v>2</v>
      </c>
      <c r="AV570" s="1070"/>
      <c r="AW570" s="1070"/>
      <c r="AX570" s="1070"/>
      <c r="AY570" s="1071"/>
      <c r="AZ570" s="1069">
        <f t="shared" si="2"/>
        <v>1</v>
      </c>
      <c r="BA570" s="1070"/>
      <c r="BB570" s="1070"/>
      <c r="BC570" s="1070"/>
      <c r="BD570" s="1071"/>
      <c r="BE570" s="1446">
        <f t="shared" si="3"/>
        <v>0.5</v>
      </c>
      <c r="BF570" s="1447"/>
      <c r="BG570" s="1447"/>
      <c r="BH570" s="1447"/>
      <c r="BI570" s="1448"/>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8"/>
      <c r="J571" s="1559"/>
      <c r="K571" s="1559"/>
      <c r="L571" s="1559"/>
      <c r="M571" s="1559"/>
      <c r="N571" s="1560"/>
      <c r="O571" s="1688">
        <v>0.1</v>
      </c>
      <c r="P571" s="1689"/>
      <c r="Q571" s="1884"/>
      <c r="R571" s="1885"/>
      <c r="S571" s="1653" t="s">
        <v>1844</v>
      </c>
      <c r="T571" s="1653"/>
      <c r="U571" s="1726">
        <v>5</v>
      </c>
      <c r="V571" s="1726"/>
      <c r="W571" s="1726">
        <v>7.5</v>
      </c>
      <c r="X571" s="1726"/>
      <c r="Y571" s="1726">
        <v>10</v>
      </c>
      <c r="Z571" s="1726"/>
      <c r="AA571" s="1726">
        <v>12.5</v>
      </c>
      <c r="AB571" s="1726"/>
      <c r="AC571" s="1726">
        <v>15</v>
      </c>
      <c r="AD571" s="1726"/>
      <c r="AE571" s="1671">
        <v>20</v>
      </c>
      <c r="AF571" s="1672"/>
      <c r="AK571" s="167"/>
      <c r="AL571" s="167"/>
      <c r="AM571" s="5"/>
      <c r="AN571" s="281"/>
      <c r="AP571" s="1828" t="str">
        <f t="shared" si="0"/>
        <v>2 BR</v>
      </c>
      <c r="AQ571" s="1829"/>
      <c r="AR571" s="1829"/>
      <c r="AS571" s="1829"/>
      <c r="AT571" s="1830"/>
      <c r="AU571" s="1069">
        <f t="shared" si="1"/>
        <v>53</v>
      </c>
      <c r="AV571" s="1070"/>
      <c r="AW571" s="1070"/>
      <c r="AX571" s="1070"/>
      <c r="AY571" s="1071"/>
      <c r="AZ571" s="1069">
        <f t="shared" si="2"/>
        <v>7</v>
      </c>
      <c r="BA571" s="1070"/>
      <c r="BB571" s="1070"/>
      <c r="BC571" s="1070"/>
      <c r="BD571" s="1071"/>
      <c r="BE571" s="1446">
        <f t="shared" si="3"/>
        <v>0.13207547169811321</v>
      </c>
      <c r="BF571" s="1447"/>
      <c r="BG571" s="1447"/>
      <c r="BH571" s="1447"/>
      <c r="BI571" s="1448"/>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50"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8" t="str">
        <f t="shared" si="0"/>
        <v>1 BR</v>
      </c>
      <c r="AQ572" s="1829"/>
      <c r="AR572" s="1829"/>
      <c r="AS572" s="1829"/>
      <c r="AT572" s="1830"/>
      <c r="AU572" s="1069">
        <f t="shared" si="1"/>
        <v>16</v>
      </c>
      <c r="AV572" s="1070"/>
      <c r="AW572" s="1070"/>
      <c r="AX572" s="1070"/>
      <c r="AY572" s="1071"/>
      <c r="AZ572" s="1069">
        <f t="shared" si="2"/>
        <v>2</v>
      </c>
      <c r="BA572" s="1070"/>
      <c r="BB572" s="1070"/>
      <c r="BC572" s="1070"/>
      <c r="BD572" s="1071"/>
      <c r="BE572" s="1446">
        <f t="shared" si="3"/>
        <v>0.125</v>
      </c>
      <c r="BF572" s="1447"/>
      <c r="BG572" s="1447"/>
      <c r="BH572" s="1447"/>
      <c r="BI572" s="1448"/>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5"/>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6"/>
      <c r="AN573" s="281"/>
      <c r="AP573" s="1828" t="str">
        <f t="shared" si="0"/>
        <v>SRO</v>
      </c>
      <c r="AQ573" s="1829"/>
      <c r="AR573" s="1829"/>
      <c r="AS573" s="1829"/>
      <c r="AT573" s="1830"/>
      <c r="AU573" s="1069">
        <f t="shared" si="1"/>
        <v>2</v>
      </c>
      <c r="AV573" s="1070"/>
      <c r="AW573" s="1070"/>
      <c r="AX573" s="1070"/>
      <c r="AY573" s="1071"/>
      <c r="AZ573" s="1069">
        <f t="shared" si="2"/>
        <v>1</v>
      </c>
      <c r="BA573" s="1070"/>
      <c r="BB573" s="1070"/>
      <c r="BC573" s="1070"/>
      <c r="BD573" s="1071"/>
      <c r="BE573" s="1446">
        <f t="shared" si="3"/>
        <v>0.5</v>
      </c>
      <c r="BF573" s="1447"/>
      <c r="BG573" s="1447"/>
      <c r="BH573" s="1447"/>
      <c r="BI573" s="1448"/>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61" t="s">
        <v>1577</v>
      </c>
      <c r="F574" s="1662"/>
      <c r="G574" s="1662"/>
      <c r="H574" s="1662"/>
      <c r="I574" s="1662"/>
      <c r="J574" s="1663"/>
      <c r="K574" s="1661" t="s">
        <v>1836</v>
      </c>
      <c r="L574" s="1662"/>
      <c r="M574" s="1662"/>
      <c r="N574" s="1662"/>
      <c r="O574" s="1662"/>
      <c r="P574" s="1663"/>
      <c r="Q574" s="1552" t="s">
        <v>1573</v>
      </c>
      <c r="R574" s="1553"/>
      <c r="S574" s="1553"/>
      <c r="T574" s="1553"/>
      <c r="U574" s="1553"/>
      <c r="V574" s="1554"/>
      <c r="W574" s="1552" t="str">
        <f>I563</f>
        <v>Percent of Low-Income Units (exclusive of manager’s units)</v>
      </c>
      <c r="X574" s="1553"/>
      <c r="Y574" s="1553"/>
      <c r="Z574" s="1553"/>
      <c r="AA574" s="1553"/>
      <c r="AB574" s="1554"/>
      <c r="AC574" s="1552" t="s">
        <v>1576</v>
      </c>
      <c r="AD574" s="1553"/>
      <c r="AE574" s="1553"/>
      <c r="AF574" s="1553"/>
      <c r="AG574" s="1553"/>
      <c r="AH574" s="1554"/>
      <c r="AN574" s="281"/>
      <c r="AP574" s="1828" t="str">
        <f t="shared" si="0"/>
        <v>Total:</v>
      </c>
      <c r="AQ574" s="1829"/>
      <c r="AR574" s="1829"/>
      <c r="AS574" s="1829"/>
      <c r="AT574" s="1830"/>
      <c r="AU574" s="1828"/>
      <c r="AV574" s="1829"/>
      <c r="AW574" s="1829"/>
      <c r="AX574" s="1829"/>
      <c r="AY574" s="1830"/>
      <c r="AZ574" s="1828"/>
      <c r="BA574" s="1829"/>
      <c r="BB574" s="1829"/>
      <c r="BC574" s="1829"/>
      <c r="BD574" s="1830"/>
      <c r="BE574" s="1828"/>
      <c r="BF574" s="1829"/>
      <c r="BG574" s="1829"/>
      <c r="BH574" s="1829"/>
      <c r="BI574" s="1830"/>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4"/>
      <c r="F575" s="1665"/>
      <c r="G575" s="1665"/>
      <c r="H575" s="1665"/>
      <c r="I575" s="1665"/>
      <c r="J575" s="1666"/>
      <c r="K575" s="1664"/>
      <c r="L575" s="1665"/>
      <c r="M575" s="1665"/>
      <c r="N575" s="1665"/>
      <c r="O575" s="1665"/>
      <c r="P575" s="1666"/>
      <c r="Q575" s="1555"/>
      <c r="R575" s="1556"/>
      <c r="S575" s="1556"/>
      <c r="T575" s="1556"/>
      <c r="U575" s="1556"/>
      <c r="V575" s="1557"/>
      <c r="W575" s="1555"/>
      <c r="X575" s="1556"/>
      <c r="Y575" s="1556"/>
      <c r="Z575" s="1556"/>
      <c r="AA575" s="1556"/>
      <c r="AB575" s="1557"/>
      <c r="AC575" s="1555"/>
      <c r="AD575" s="1556"/>
      <c r="AE575" s="1556"/>
      <c r="AF575" s="1556"/>
      <c r="AG575" s="1556"/>
      <c r="AH575" s="1557"/>
      <c r="AN575" s="281"/>
    </row>
    <row r="576" spans="1:96" s="4" customFormat="1" ht="12.75" customHeight="1">
      <c r="E576" s="1664"/>
      <c r="F576" s="1665"/>
      <c r="G576" s="1665"/>
      <c r="H576" s="1665"/>
      <c r="I576" s="1665"/>
      <c r="J576" s="1666"/>
      <c r="K576" s="1664"/>
      <c r="L576" s="1665"/>
      <c r="M576" s="1665"/>
      <c r="N576" s="1665"/>
      <c r="O576" s="1665"/>
      <c r="P576" s="1666"/>
      <c r="Q576" s="1555"/>
      <c r="R576" s="1556"/>
      <c r="S576" s="1556"/>
      <c r="T576" s="1556"/>
      <c r="U576" s="1556"/>
      <c r="V576" s="1557"/>
      <c r="W576" s="1555"/>
      <c r="X576" s="1556"/>
      <c r="Y576" s="1556"/>
      <c r="Z576" s="1556"/>
      <c r="AA576" s="1556"/>
      <c r="AB576" s="1557"/>
      <c r="AC576" s="1555"/>
      <c r="AD576" s="1556"/>
      <c r="AE576" s="1556"/>
      <c r="AF576" s="1556"/>
      <c r="AG576" s="1556"/>
      <c r="AH576" s="1557"/>
      <c r="AN576" s="281"/>
    </row>
    <row r="577" spans="2:69" s="4" customFormat="1" ht="12.75" customHeight="1">
      <c r="E577" s="1664"/>
      <c r="F577" s="1665"/>
      <c r="G577" s="1665"/>
      <c r="H577" s="1665"/>
      <c r="I577" s="1665"/>
      <c r="J577" s="1666"/>
      <c r="K577" s="1664"/>
      <c r="L577" s="1665"/>
      <c r="M577" s="1665"/>
      <c r="N577" s="1665"/>
      <c r="O577" s="1665"/>
      <c r="P577" s="1666"/>
      <c r="Q577" s="1555"/>
      <c r="R577" s="1556"/>
      <c r="S577" s="1556"/>
      <c r="T577" s="1556"/>
      <c r="U577" s="1556"/>
      <c r="V577" s="1557"/>
      <c r="W577" s="1555"/>
      <c r="X577" s="1556"/>
      <c r="Y577" s="1556"/>
      <c r="Z577" s="1556"/>
      <c r="AA577" s="1556"/>
      <c r="AB577" s="1557"/>
      <c r="AC577" s="1555"/>
      <c r="AD577" s="1556"/>
      <c r="AE577" s="1556"/>
      <c r="AF577" s="1556"/>
      <c r="AG577" s="1556"/>
      <c r="AH577" s="1557"/>
      <c r="AN577" s="281"/>
      <c r="AP577" s="3" t="s">
        <v>1173</v>
      </c>
      <c r="BH577" s="3" t="s">
        <v>1174</v>
      </c>
    </row>
    <row r="578" spans="2:69" s="4" customFormat="1" ht="12.75" customHeight="1">
      <c r="E578" s="1655"/>
      <c r="F578" s="1656"/>
      <c r="G578" s="1656"/>
      <c r="H578" s="1656"/>
      <c r="I578" s="1656"/>
      <c r="J578" s="1657"/>
      <c r="K578" s="1658">
        <v>20</v>
      </c>
      <c r="L578" s="1659"/>
      <c r="M578" s="1659"/>
      <c r="N578" s="1659"/>
      <c r="O578" s="1659"/>
      <c r="P578" s="1660"/>
      <c r="Q578" s="1723">
        <f>IF(ISERROR(IF((((E578/$BJ$525)*100)&gt;100),"EXCESSIVE VALUE",(E578/$BJ$525)*100)),0,IF((((E578/$BJ$525)*100)&gt;100),"EXCESSIVE VALUE",(E578/$BJ$525)*100))</f>
        <v>0</v>
      </c>
      <c r="R578" s="1724"/>
      <c r="S578" s="1724"/>
      <c r="T578" s="1724"/>
      <c r="U578" s="1724"/>
      <c r="V578" s="1725"/>
      <c r="W578" s="1667">
        <f>IF(FLOOR(Q578,5)&gt;80,80,FLOOR(Q578,5))</f>
        <v>0</v>
      </c>
      <c r="X578" s="1668"/>
      <c r="Y578" s="1668"/>
      <c r="Z578" s="1668"/>
      <c r="AA578" s="1668"/>
      <c r="AB578" s="1669"/>
      <c r="AC578" s="1667">
        <f t="shared" ref="AC578:AC583" si="4">IFERROR(IF(W578&gt;0,INDEX($BI$504:$BP$518,MATCH(W578,$BH$504:$BH$518,0),MATCH(K578,$BI$503:$BP$503,0)),0),0)</f>
        <v>0</v>
      </c>
      <c r="AD578" s="1668"/>
      <c r="AE578" s="1668"/>
      <c r="AF578" s="1668"/>
      <c r="AG578" s="1668"/>
      <c r="AH578" s="1669"/>
      <c r="AN578" s="281"/>
      <c r="AO578" s="4">
        <v>5</v>
      </c>
      <c r="AP578" s="1658">
        <f t="shared" ref="AP578:AP583" si="5">IF(OR(BE568&gt;=0.1,BE568=0),0,1)</f>
        <v>0</v>
      </c>
      <c r="AQ578" s="1659"/>
      <c r="AR578" s="1659"/>
      <c r="AS578" s="1659"/>
      <c r="AT578" s="1660"/>
      <c r="AX578" s="1707" t="s">
        <v>831</v>
      </c>
      <c r="AY578" s="1709"/>
      <c r="AZ578" s="1709"/>
      <c r="BA578" s="1709"/>
      <c r="BB578" s="1709"/>
      <c r="BC578" s="1709"/>
      <c r="BD578" s="1709"/>
      <c r="BE578" s="1709"/>
      <c r="BF578" s="1709"/>
      <c r="BG578" s="1709"/>
      <c r="BH578" s="1709"/>
      <c r="BI578" s="1709"/>
      <c r="BJ578" s="1709"/>
      <c r="BK578" s="1709"/>
      <c r="BL578" s="1709"/>
      <c r="BM578" s="1709"/>
      <c r="BN578" s="1709"/>
      <c r="BO578" s="1709"/>
      <c r="BP578" s="1709"/>
      <c r="BQ578" s="1708"/>
    </row>
    <row r="579" spans="2:69" s="4" customFormat="1" ht="12.75" customHeight="1">
      <c r="E579" s="1866">
        <f>SUM(Application!G692,Application!G694,Application!G699,Application!G707)</f>
        <v>11</v>
      </c>
      <c r="F579" s="1656"/>
      <c r="G579" s="1656"/>
      <c r="H579" s="1656"/>
      <c r="I579" s="1656"/>
      <c r="J579" s="1657"/>
      <c r="K579" s="1658">
        <v>30</v>
      </c>
      <c r="L579" s="1659"/>
      <c r="M579" s="1659"/>
      <c r="N579" s="1659"/>
      <c r="O579" s="1659"/>
      <c r="P579" s="1660"/>
      <c r="Q579" s="1723">
        <f t="shared" ref="Q579:Q586" si="6">IF(ISERROR(IF((((E579/$BJ$525)*100)&gt;100),"EXCESSIVE VALUE",(E579/$BJ$525)*100)),0,IF((((E579/$BJ$525)*100)&gt;100),"EXCESSIVE VALUE",(E579/$BJ$525)*100))</f>
        <v>15.068493150684931</v>
      </c>
      <c r="R579" s="1724"/>
      <c r="S579" s="1724"/>
      <c r="T579" s="1724"/>
      <c r="U579" s="1724"/>
      <c r="V579" s="1725"/>
      <c r="W579" s="1667">
        <f>IF(FLOOR(Q579,5)&gt;80,80,FLOOR(Q579,5))</f>
        <v>15</v>
      </c>
      <c r="X579" s="1668"/>
      <c r="Y579" s="1668"/>
      <c r="Z579" s="1668"/>
      <c r="AA579" s="1668"/>
      <c r="AB579" s="1669"/>
      <c r="AC579" s="1667">
        <f t="shared" si="4"/>
        <v>22.5</v>
      </c>
      <c r="AD579" s="1668"/>
      <c r="AE579" s="1668"/>
      <c r="AF579" s="1668"/>
      <c r="AG579" s="1668"/>
      <c r="AH579" s="1669"/>
      <c r="AN579" s="281"/>
      <c r="AO579" s="4">
        <v>4</v>
      </c>
      <c r="AP579" s="1658">
        <f t="shared" si="5"/>
        <v>0</v>
      </c>
      <c r="AQ579" s="1659"/>
      <c r="AR579" s="1659"/>
      <c r="AS579" s="1659"/>
      <c r="AT579" s="1660"/>
      <c r="AX579" s="1773" t="s">
        <v>651</v>
      </c>
      <c r="AY579" s="1774"/>
      <c r="AZ579" s="1261" t="s">
        <v>651</v>
      </c>
      <c r="BA579" s="1263"/>
      <c r="BB579" s="1773" t="s">
        <v>280</v>
      </c>
      <c r="BC579" s="1774"/>
      <c r="BD579" s="1704" t="s">
        <v>280</v>
      </c>
      <c r="BE579" s="1706"/>
      <c r="BF579" s="1773" t="s">
        <v>279</v>
      </c>
      <c r="BG579" s="1774"/>
      <c r="BH579" s="1704" t="s">
        <v>279</v>
      </c>
      <c r="BI579" s="1706"/>
      <c r="BJ579" s="1773" t="s">
        <v>278</v>
      </c>
      <c r="BK579" s="1774"/>
      <c r="BL579" s="1704" t="s">
        <v>278</v>
      </c>
      <c r="BM579" s="1706"/>
      <c r="BN579" s="1773" t="s">
        <v>650</v>
      </c>
      <c r="BO579" s="1774"/>
      <c r="BP579" s="1704" t="s">
        <v>650</v>
      </c>
      <c r="BQ579" s="1706"/>
    </row>
    <row r="580" spans="2:69" s="4" customFormat="1" ht="12.75" customHeight="1">
      <c r="E580" s="1655"/>
      <c r="F580" s="1656"/>
      <c r="G580" s="1656"/>
      <c r="H580" s="1656"/>
      <c r="I580" s="1656"/>
      <c r="J580" s="1657"/>
      <c r="K580" s="1658">
        <v>35</v>
      </c>
      <c r="L580" s="1659"/>
      <c r="M580" s="1659"/>
      <c r="N580" s="1659"/>
      <c r="O580" s="1659"/>
      <c r="P580" s="1660"/>
      <c r="Q580" s="1723">
        <f t="shared" si="6"/>
        <v>0</v>
      </c>
      <c r="R580" s="1724"/>
      <c r="S580" s="1724"/>
      <c r="T580" s="1724"/>
      <c r="U580" s="1724"/>
      <c r="V580" s="1725"/>
      <c r="W580" s="1667">
        <f t="shared" ref="W580:W586" si="7">IF(FLOOR(Q580,5)&gt;80,80,FLOOR(Q580,5))</f>
        <v>0</v>
      </c>
      <c r="X580" s="1668"/>
      <c r="Y580" s="1668"/>
      <c r="Z580" s="1668"/>
      <c r="AA580" s="1668"/>
      <c r="AB580" s="1669"/>
      <c r="AC580" s="1667">
        <f t="shared" si="4"/>
        <v>0</v>
      </c>
      <c r="AD580" s="1668"/>
      <c r="AE580" s="1668"/>
      <c r="AF580" s="1668"/>
      <c r="AG580" s="1668"/>
      <c r="AH580" s="1669"/>
      <c r="AN580" s="281"/>
      <c r="AO580" s="4">
        <v>3</v>
      </c>
      <c r="AP580" s="1658">
        <f t="shared" si="5"/>
        <v>0</v>
      </c>
      <c r="AQ580" s="1659"/>
      <c r="AR580" s="1659"/>
      <c r="AS580" s="1659"/>
      <c r="AT580" s="1660"/>
      <c r="AX580" s="1773">
        <f>IF(AP530=1,1,0)</f>
        <v>0</v>
      </c>
      <c r="AY580" s="1774"/>
      <c r="AZ580" s="1707"/>
      <c r="BA580" s="1708"/>
      <c r="BB580" s="1826"/>
      <c r="BC580" s="1827"/>
      <c r="BD580" s="1704">
        <f>IF(AND(T605&gt;0,AP530&gt;0),1,0)</f>
        <v>0</v>
      </c>
      <c r="BE580" s="1706"/>
      <c r="BF580" s="1826"/>
      <c r="BG580" s="1827"/>
      <c r="BH580" s="1704">
        <f>IF(AND(T605&gt;0,AP530&gt;0),1,0)</f>
        <v>0</v>
      </c>
      <c r="BI580" s="1706"/>
      <c r="BJ580" s="1826"/>
      <c r="BK580" s="1827"/>
      <c r="BL580" s="1704">
        <f>IF(AND(T605&gt;0,AP530&gt;0),1,0)</f>
        <v>0</v>
      </c>
      <c r="BM580" s="1706"/>
      <c r="BN580" s="1826"/>
      <c r="BO580" s="1827"/>
      <c r="BP580" s="1704">
        <f>IF(AND(T605&gt;0,AP530&gt;0),1,0)</f>
        <v>0</v>
      </c>
      <c r="BQ580" s="1706"/>
    </row>
    <row r="581" spans="2:69" s="4" customFormat="1" ht="12.75" customHeight="1">
      <c r="E581" s="1655"/>
      <c r="F581" s="1656"/>
      <c r="G581" s="1656"/>
      <c r="H581" s="1656"/>
      <c r="I581" s="1656"/>
      <c r="J581" s="1657"/>
      <c r="K581" s="1658">
        <v>40</v>
      </c>
      <c r="L581" s="1659"/>
      <c r="M581" s="1659"/>
      <c r="N581" s="1659"/>
      <c r="O581" s="1659"/>
      <c r="P581" s="1660"/>
      <c r="Q581" s="1723">
        <f t="shared" si="6"/>
        <v>0</v>
      </c>
      <c r="R581" s="1724"/>
      <c r="S581" s="1724"/>
      <c r="T581" s="1724"/>
      <c r="U581" s="1724"/>
      <c r="V581" s="1725"/>
      <c r="W581" s="1667">
        <f t="shared" si="7"/>
        <v>0</v>
      </c>
      <c r="X581" s="1668"/>
      <c r="Y581" s="1668"/>
      <c r="Z581" s="1668"/>
      <c r="AA581" s="1668"/>
      <c r="AB581" s="1669"/>
      <c r="AC581" s="1667">
        <f t="shared" si="4"/>
        <v>0</v>
      </c>
      <c r="AD581" s="1668"/>
      <c r="AE581" s="1668"/>
      <c r="AF581" s="1668"/>
      <c r="AG581" s="1668"/>
      <c r="AH581" s="1669"/>
      <c r="AN581" s="281"/>
      <c r="AO581" s="4">
        <v>2</v>
      </c>
      <c r="AP581" s="1658">
        <f t="shared" si="5"/>
        <v>0</v>
      </c>
      <c r="AQ581" s="1659"/>
      <c r="AR581" s="1659"/>
      <c r="AS581" s="1659"/>
      <c r="AT581" s="1660"/>
      <c r="AX581" s="1826"/>
      <c r="AY581" s="1827"/>
      <c r="AZ581" s="1707"/>
      <c r="BA581" s="1708"/>
      <c r="BB581" s="1773">
        <f>IF(AP531=1,1,0)</f>
        <v>0</v>
      </c>
      <c r="BC581" s="1774"/>
      <c r="BD581" s="1707"/>
      <c r="BE581" s="1708"/>
      <c r="BF581" s="1826"/>
      <c r="BG581" s="1827"/>
      <c r="BH581" s="1704">
        <f>IF(AND(T606&gt;0,AP531&gt;0),1,0)</f>
        <v>1</v>
      </c>
      <c r="BI581" s="1706"/>
      <c r="BJ581" s="1826"/>
      <c r="BK581" s="1827"/>
      <c r="BL581" s="1704">
        <f>IF(AND(T606&gt;0,AP531&gt;0),1,0)</f>
        <v>1</v>
      </c>
      <c r="BM581" s="1706"/>
      <c r="BN581" s="1826"/>
      <c r="BO581" s="1827"/>
      <c r="BP581" s="1704">
        <f>IF(AND(T606&gt;0,AP531&gt;0),1,0)</f>
        <v>1</v>
      </c>
      <c r="BQ581" s="1706"/>
    </row>
    <row r="582" spans="2:69" s="4" customFormat="1" ht="12.75" customHeight="1">
      <c r="E582" s="1866">
        <f>SUM(Application!G693,Application!G695,Application!G700,Application!G701,Application!G702,Application!G708)</f>
        <v>17</v>
      </c>
      <c r="F582" s="1656"/>
      <c r="G582" s="1656"/>
      <c r="H582" s="1656"/>
      <c r="I582" s="1656"/>
      <c r="J582" s="1657"/>
      <c r="K582" s="1658">
        <v>45</v>
      </c>
      <c r="L582" s="1659"/>
      <c r="M582" s="1659"/>
      <c r="N582" s="1659"/>
      <c r="O582" s="1659"/>
      <c r="P582" s="1660"/>
      <c r="Q582" s="1723">
        <f t="shared" si="6"/>
        <v>23.287671232876711</v>
      </c>
      <c r="R582" s="1724"/>
      <c r="S582" s="1724"/>
      <c r="T582" s="1724"/>
      <c r="U582" s="1724"/>
      <c r="V582" s="1725"/>
      <c r="W582" s="1667">
        <f>IF(FLOOR(Q582,5)&gt;65,65,FLOOR(Q582,5))</f>
        <v>20</v>
      </c>
      <c r="X582" s="1668"/>
      <c r="Y582" s="1668"/>
      <c r="Z582" s="1668"/>
      <c r="AA582" s="1668"/>
      <c r="AB582" s="1669"/>
      <c r="AC582" s="1667">
        <f t="shared" si="4"/>
        <v>15</v>
      </c>
      <c r="AD582" s="1668"/>
      <c r="AE582" s="1668"/>
      <c r="AF582" s="1668"/>
      <c r="AG582" s="1668"/>
      <c r="AH582" s="1669"/>
      <c r="AN582" s="281"/>
      <c r="AO582" s="4">
        <v>1</v>
      </c>
      <c r="AP582" s="1658">
        <f t="shared" si="5"/>
        <v>0</v>
      </c>
      <c r="AQ582" s="1659"/>
      <c r="AR582" s="1659"/>
      <c r="AS582" s="1659"/>
      <c r="AT582" s="1660"/>
      <c r="AX582" s="1826"/>
      <c r="AY582" s="1827"/>
      <c r="AZ582" s="1707"/>
      <c r="BA582" s="1708"/>
      <c r="BB582" s="1826"/>
      <c r="BC582" s="1827"/>
      <c r="BD582" s="1707"/>
      <c r="BE582" s="1708"/>
      <c r="BF582" s="1773">
        <f>IF(AP532=1,1,0)</f>
        <v>1</v>
      </c>
      <c r="BG582" s="1774"/>
      <c r="BH582" s="1707"/>
      <c r="BI582" s="1708"/>
      <c r="BJ582" s="1826"/>
      <c r="BK582" s="1827"/>
      <c r="BL582" s="1704">
        <f>IF(AND(T607&gt;0,AP532&gt;0),1,0)</f>
        <v>1</v>
      </c>
      <c r="BM582" s="1706"/>
      <c r="BN582" s="1826"/>
      <c r="BO582" s="1827"/>
      <c r="BP582" s="1704">
        <f>IF(AND(T607&gt;0,AP532&gt;0),1,0)</f>
        <v>1</v>
      </c>
      <c r="BQ582" s="1706"/>
    </row>
    <row r="583" spans="2:69" s="4" customFormat="1" ht="12.75" customHeight="1">
      <c r="E583" s="1866">
        <f>SUM(Application!G696,Application!G703,Application!G704)</f>
        <v>19</v>
      </c>
      <c r="F583" s="1656"/>
      <c r="G583" s="1656"/>
      <c r="H583" s="1656"/>
      <c r="I583" s="1656"/>
      <c r="J583" s="1657"/>
      <c r="K583" s="1658">
        <v>50</v>
      </c>
      <c r="L583" s="1659"/>
      <c r="M583" s="1659"/>
      <c r="N583" s="1659"/>
      <c r="O583" s="1659"/>
      <c r="P583" s="1660"/>
      <c r="Q583" s="1723">
        <f t="shared" si="6"/>
        <v>26.027397260273972</v>
      </c>
      <c r="R583" s="1724"/>
      <c r="S583" s="1724"/>
      <c r="T583" s="1724"/>
      <c r="U583" s="1724"/>
      <c r="V583" s="1725"/>
      <c r="W583" s="1667">
        <f>IF(FLOOR(Q583,5)&gt;40,40,FLOOR(Q583,5))</f>
        <v>25</v>
      </c>
      <c r="X583" s="1668"/>
      <c r="Y583" s="1668"/>
      <c r="Z583" s="1668"/>
      <c r="AA583" s="1668"/>
      <c r="AB583" s="1669"/>
      <c r="AC583" s="1667">
        <f t="shared" si="4"/>
        <v>12.5</v>
      </c>
      <c r="AD583" s="1668"/>
      <c r="AE583" s="1668"/>
      <c r="AF583" s="1668"/>
      <c r="AG583" s="1668"/>
      <c r="AH583" s="1669"/>
      <c r="AN583" s="281"/>
      <c r="AO583" s="4">
        <v>0</v>
      </c>
      <c r="AP583" s="1658">
        <f t="shared" si="5"/>
        <v>0</v>
      </c>
      <c r="AQ583" s="1659"/>
      <c r="AR583" s="1659"/>
      <c r="AS583" s="1659"/>
      <c r="AT583" s="1660"/>
      <c r="AX583" s="1826"/>
      <c r="AY583" s="1827"/>
      <c r="AZ583" s="1707"/>
      <c r="BA583" s="1708"/>
      <c r="BB583" s="1826"/>
      <c r="BC583" s="1827"/>
      <c r="BD583" s="1707"/>
      <c r="BE583" s="1708"/>
      <c r="BF583" s="1826"/>
      <c r="BG583" s="1827"/>
      <c r="BH583" s="1707"/>
      <c r="BI583" s="1708"/>
      <c r="BJ583" s="1773">
        <f>IF(AP533=1,1,0)</f>
        <v>0</v>
      </c>
      <c r="BK583" s="1774"/>
      <c r="BL583" s="1826"/>
      <c r="BM583" s="1827"/>
      <c r="BN583" s="1826"/>
      <c r="BO583" s="1827"/>
      <c r="BP583" s="1704">
        <f>IF(AND(T608&gt;0,AP533&gt;0),1,0)</f>
        <v>1</v>
      </c>
      <c r="BQ583" s="1706"/>
    </row>
    <row r="584" spans="2:69" s="4" customFormat="1" ht="12.75" customHeight="1">
      <c r="E584" s="1753"/>
      <c r="F584" s="1754"/>
      <c r="G584" s="1754"/>
      <c r="H584" s="1754"/>
      <c r="I584" s="1754"/>
      <c r="J584" s="1755"/>
      <c r="K584" s="1862">
        <f>IF(OR(Application!D211="Rural",Application!D211="Rural apportionment (Section 514)",Application!D211="Rural apportionment (Section 515)",Application!D211="Rural apportionment (HOME)",Application!D211="Rural (Native American apportionment)"),50,0)</f>
        <v>0</v>
      </c>
      <c r="L584" s="1863"/>
      <c r="M584" s="1864" t="s">
        <v>1930</v>
      </c>
      <c r="N584" s="1864"/>
      <c r="O584" s="1864"/>
      <c r="P584" s="1865"/>
      <c r="Q584" s="1723">
        <f t="shared" si="6"/>
        <v>0</v>
      </c>
      <c r="R584" s="1724"/>
      <c r="S584" s="1724"/>
      <c r="T584" s="1724"/>
      <c r="U584" s="1724"/>
      <c r="V584" s="1725"/>
      <c r="W584" s="1667">
        <f>IF(FLOOR(Q584,5)&gt;50,50,FLOOR(Q584,5))</f>
        <v>0</v>
      </c>
      <c r="X584" s="1668"/>
      <c r="Y584" s="1668"/>
      <c r="Z584" s="1668"/>
      <c r="AA584" s="1668"/>
      <c r="AB584" s="1669"/>
      <c r="AC584" s="1667">
        <f>IFERROR(IF(W584&gt;0,INDEX($AT$504:$BA$518,MATCH(W584,$AS$504:$AS$518,0),MATCH(K584,$AT$503:$BA$503,0)),0),0)</f>
        <v>0</v>
      </c>
      <c r="AD584" s="1668"/>
      <c r="AE584" s="1668"/>
      <c r="AF584" s="1668"/>
      <c r="AG584" s="1668"/>
      <c r="AH584" s="1669"/>
      <c r="AN584" s="281"/>
      <c r="AP584" s="1658"/>
      <c r="AQ584" s="1659"/>
      <c r="AR584" s="1659"/>
      <c r="AS584" s="1659"/>
      <c r="AT584" s="1660"/>
      <c r="AX584" s="1826"/>
      <c r="AY584" s="1827"/>
      <c r="AZ584" s="1707"/>
      <c r="BA584" s="1708"/>
      <c r="BB584" s="1826"/>
      <c r="BC584" s="1827"/>
      <c r="BD584" s="1707"/>
      <c r="BE584" s="1708"/>
      <c r="BF584" s="1826"/>
      <c r="BG584" s="1827"/>
      <c r="BH584" s="1707"/>
      <c r="BI584" s="1708"/>
      <c r="BJ584" s="1826"/>
      <c r="BK584" s="1827"/>
      <c r="BL584" s="1826"/>
      <c r="BM584" s="1827"/>
      <c r="BN584" s="1773">
        <f>IF(AP534=1,1,0)</f>
        <v>0</v>
      </c>
      <c r="BO584" s="1774"/>
      <c r="BP584" s="1707"/>
      <c r="BQ584" s="1708"/>
    </row>
    <row r="585" spans="2:69" s="4" customFormat="1" ht="12.75" customHeight="1">
      <c r="E585" s="1753"/>
      <c r="F585" s="1754"/>
      <c r="G585" s="1754"/>
      <c r="H585" s="1754"/>
      <c r="I585" s="1754"/>
      <c r="J585" s="1755"/>
      <c r="K585" s="1862">
        <f>IF(OR(Application!D211="Rural",Application!D211="Rural apportionment (Section 514)",Application!D211="Rural apportionment (Section 515)",Application!D211="Rural apportionment (HOME)",Application!D211="Rural (Native American apportionment)"),55,0)</f>
        <v>0</v>
      </c>
      <c r="L585" s="1863"/>
      <c r="M585" s="1864" t="s">
        <v>1930</v>
      </c>
      <c r="N585" s="1864"/>
      <c r="O585" s="1864"/>
      <c r="P585" s="1865"/>
      <c r="Q585" s="1723">
        <f t="shared" si="6"/>
        <v>0</v>
      </c>
      <c r="R585" s="1724"/>
      <c r="S585" s="1724"/>
      <c r="T585" s="1724"/>
      <c r="U585" s="1724"/>
      <c r="V585" s="1725"/>
      <c r="W585" s="1667">
        <f>IF(FLOOR(Q585,5)&gt;40,40,FLOOR(Q585,5))</f>
        <v>0</v>
      </c>
      <c r="X585" s="1668"/>
      <c r="Y585" s="1668"/>
      <c r="Z585" s="1668"/>
      <c r="AA585" s="1668"/>
      <c r="AB585" s="1669"/>
      <c r="AC585" s="1667">
        <f>IFERROR(IF(W585&gt;0,INDEX($AT$504:$BA$518,MATCH(W585,$AS$504:$AS$518,0),MATCH(K585,$AT$503:$BA$503,0)),0),0)</f>
        <v>0</v>
      </c>
      <c r="AD585" s="1668"/>
      <c r="AE585" s="1668"/>
      <c r="AF585" s="1668"/>
      <c r="AG585" s="1668"/>
      <c r="AH585" s="1669"/>
      <c r="AN585" s="281"/>
      <c r="AX585" s="1773">
        <f>SUM(AX580:AY584)</f>
        <v>0</v>
      </c>
      <c r="AY585" s="1774"/>
      <c r="AZ585" s="1704">
        <f>SUM(AZ581:BA584)</f>
        <v>0</v>
      </c>
      <c r="BA585" s="1706"/>
      <c r="BB585" s="1773">
        <f>SUM(BB581:BC584)</f>
        <v>0</v>
      </c>
      <c r="BC585" s="1774"/>
      <c r="BD585" s="1704">
        <f>SUM(BD580:BE584)</f>
        <v>0</v>
      </c>
      <c r="BE585" s="1706"/>
      <c r="BF585" s="1773">
        <f>SUM(BF582:BG584)</f>
        <v>1</v>
      </c>
      <c r="BG585" s="1774"/>
      <c r="BH585" s="1704">
        <f>SUM(BH580:BI584)</f>
        <v>1</v>
      </c>
      <c r="BI585" s="1706"/>
      <c r="BJ585" s="1773">
        <f>SUM(BJ580:BK584)</f>
        <v>0</v>
      </c>
      <c r="BK585" s="1774"/>
      <c r="BL585" s="1704">
        <f>SUM(BL580:BM584)</f>
        <v>2</v>
      </c>
      <c r="BM585" s="1706"/>
      <c r="BN585" s="1773">
        <f>SUM(BN580:BO584)</f>
        <v>0</v>
      </c>
      <c r="BO585" s="1774"/>
      <c r="BP585" s="1704">
        <f>SUM(BP580:BQ584)</f>
        <v>3</v>
      </c>
      <c r="BQ585" s="1706"/>
    </row>
    <row r="586" spans="2:69" s="4" customFormat="1" ht="12.75" customHeight="1">
      <c r="E586" s="1866">
        <f>SUM(Application!G697,Application!G705,Application!G706)</f>
        <v>26</v>
      </c>
      <c r="F586" s="1656"/>
      <c r="G586" s="1656"/>
      <c r="H586" s="1656"/>
      <c r="I586" s="1656"/>
      <c r="J586" s="1657"/>
      <c r="K586" s="1658" t="s">
        <v>2257</v>
      </c>
      <c r="L586" s="1659"/>
      <c r="M586" s="1659"/>
      <c r="N586" s="1659"/>
      <c r="O586" s="1659"/>
      <c r="P586" s="1660"/>
      <c r="Q586" s="1723">
        <f t="shared" si="6"/>
        <v>35.61643835616438</v>
      </c>
      <c r="R586" s="1724"/>
      <c r="S586" s="1724"/>
      <c r="T586" s="1724"/>
      <c r="U586" s="1724"/>
      <c r="V586" s="1725"/>
      <c r="W586" s="1667">
        <f t="shared" si="7"/>
        <v>35</v>
      </c>
      <c r="X586" s="1668"/>
      <c r="Y586" s="1668"/>
      <c r="Z586" s="1668"/>
      <c r="AA586" s="1668"/>
      <c r="AB586" s="1669"/>
      <c r="AC586" s="1667">
        <v>0</v>
      </c>
      <c r="AD586" s="1668"/>
      <c r="AE586" s="1668"/>
      <c r="AF586" s="1668"/>
      <c r="AG586" s="1668"/>
      <c r="AH586" s="1669"/>
      <c r="AN586" s="281"/>
      <c r="AX586" s="1787">
        <f>IF(AND(AX585=1,AZ585&gt;1),1,0)</f>
        <v>0</v>
      </c>
      <c r="AY586" s="1788"/>
      <c r="AZ586" s="1788"/>
      <c r="BA586" s="1789"/>
      <c r="BB586" s="1787">
        <f>IF(AND(BB585=1,BD585&gt;=1),1,0)</f>
        <v>0</v>
      </c>
      <c r="BC586" s="1788"/>
      <c r="BD586" s="1788"/>
      <c r="BE586" s="1789"/>
      <c r="BF586" s="1787">
        <f>IF(AND(BF585=1,BH585&gt;=1),1,0)</f>
        <v>1</v>
      </c>
      <c r="BG586" s="1788"/>
      <c r="BH586" s="1788"/>
      <c r="BI586" s="1789"/>
      <c r="BJ586" s="1787">
        <f>IF(AND(BJ585=1,BL585&gt;=1),1,0)</f>
        <v>0</v>
      </c>
      <c r="BK586" s="1788"/>
      <c r="BL586" s="1788"/>
      <c r="BM586" s="1789"/>
      <c r="BN586" s="1787">
        <f>IF(AND(BN585=1,BP585&gt;=1),1,0)</f>
        <v>0</v>
      </c>
      <c r="BO586" s="1788"/>
      <c r="BP586" s="1788"/>
      <c r="BQ586" s="1789"/>
    </row>
    <row r="587" spans="2:69" s="4" customFormat="1" ht="12.75" customHeight="1">
      <c r="E587" s="965"/>
      <c r="F587" s="966"/>
      <c r="G587" s="966"/>
      <c r="H587" s="966"/>
      <c r="I587" s="966"/>
      <c r="J587" s="967"/>
      <c r="K587" s="1658" t="s">
        <v>2258</v>
      </c>
      <c r="L587" s="1659"/>
      <c r="M587" s="1659"/>
      <c r="N587" s="1659"/>
      <c r="O587" s="1659"/>
      <c r="P587" s="1660"/>
      <c r="Q587" s="1723">
        <f>IF(ISERROR(IF((((E587/$BJ$525)*100)&gt;100),"EXCESSIVE VALUE",(E587/$BJ$525)*100)),0,IF((((E587/$BJ$525)*100)&gt;100),"EXCESSIVE VALUE",(E587/$BJ$525)*100))</f>
        <v>0</v>
      </c>
      <c r="R587" s="1724"/>
      <c r="S587" s="1724"/>
      <c r="T587" s="1724"/>
      <c r="U587" s="1724"/>
      <c r="V587" s="1725"/>
      <c r="W587" s="1667">
        <f>IF(FLOOR(Q587,5)&gt;80,80,FLOOR(Q587,5))</f>
        <v>0</v>
      </c>
      <c r="X587" s="1668"/>
      <c r="Y587" s="1668"/>
      <c r="Z587" s="1668"/>
      <c r="AA587" s="1668"/>
      <c r="AB587" s="1669"/>
      <c r="AC587" s="1667">
        <v>0</v>
      </c>
      <c r="AD587" s="1668"/>
      <c r="AE587" s="1668"/>
      <c r="AF587" s="1668"/>
      <c r="AG587" s="1668"/>
      <c r="AH587" s="1669"/>
      <c r="AN587" s="281"/>
      <c r="AX587"/>
      <c r="AY587"/>
      <c r="AZ587"/>
      <c r="BA587"/>
      <c r="BB587"/>
      <c r="BC587"/>
      <c r="BD587"/>
      <c r="BE587"/>
      <c r="BF587"/>
      <c r="BG587"/>
      <c r="BH587"/>
      <c r="BI587" s="34" t="s">
        <v>645</v>
      </c>
      <c r="BJ587" s="1787">
        <f>AX586+BB586+BF586+BJ586+BN586</f>
        <v>1</v>
      </c>
      <c r="BK587" s="1788"/>
      <c r="BL587" s="1788"/>
      <c r="BM587" s="1789"/>
      <c r="BN587"/>
      <c r="BO587"/>
      <c r="BP587"/>
      <c r="BQ587"/>
    </row>
    <row r="588" spans="2:69" s="4" customFormat="1" ht="12.75" customHeight="1">
      <c r="E588" s="965"/>
      <c r="F588" s="966"/>
      <c r="G588" s="966"/>
      <c r="H588" s="966"/>
      <c r="I588" s="966"/>
      <c r="J588" s="967"/>
      <c r="K588" s="1658" t="s">
        <v>2259</v>
      </c>
      <c r="L588" s="1659"/>
      <c r="M588" s="1659"/>
      <c r="N588" s="1659"/>
      <c r="O588" s="1659"/>
      <c r="P588" s="1660"/>
      <c r="Q588" s="1723">
        <f>IF(ISERROR(IF((((E588/$BJ$525)*100)&gt;100),"EXCESSIVE VALUE",(E588/$BJ$525)*100)),0,IF((((E588/$BJ$525)*100)&gt;100),"EXCESSIVE VALUE",(E588/$BJ$525)*100))</f>
        <v>0</v>
      </c>
      <c r="R588" s="1724"/>
      <c r="S588" s="1724"/>
      <c r="T588" s="1724"/>
      <c r="U588" s="1724"/>
      <c r="V588" s="1725"/>
      <c r="W588" s="1667">
        <f>IF(FLOOR(Q588,5)&gt;80,80,FLOOR(Q588,5))</f>
        <v>0</v>
      </c>
      <c r="X588" s="1668"/>
      <c r="Y588" s="1668"/>
      <c r="Z588" s="1668"/>
      <c r="AA588" s="1668"/>
      <c r="AB588" s="1669"/>
      <c r="AC588" s="1667">
        <v>0</v>
      </c>
      <c r="AD588" s="1668"/>
      <c r="AE588" s="1668"/>
      <c r="AF588" s="1668"/>
      <c r="AG588" s="1668"/>
      <c r="AH588" s="1669"/>
      <c r="AN588" s="281"/>
      <c r="AX588"/>
      <c r="AY588"/>
      <c r="AZ588"/>
      <c r="BA588"/>
      <c r="BB588"/>
      <c r="BC588"/>
      <c r="BD588"/>
      <c r="BE588"/>
      <c r="BF588"/>
      <c r="BG588"/>
      <c r="BI588"/>
      <c r="BJ588" t="s">
        <v>644</v>
      </c>
      <c r="BK588"/>
      <c r="BL588"/>
      <c r="BM588"/>
      <c r="BN588"/>
      <c r="BO588"/>
      <c r="BP588"/>
      <c r="BQ588"/>
    </row>
    <row r="589" spans="2:69" s="4" customFormat="1" ht="12.75" customHeight="1">
      <c r="E589" s="1750">
        <f>SUM(E578:J588)</f>
        <v>73</v>
      </c>
      <c r="F589" s="1751"/>
      <c r="G589" s="1751"/>
      <c r="H589" s="1751"/>
      <c r="I589" s="1751"/>
      <c r="J589" s="1752"/>
      <c r="K589" s="89"/>
      <c r="L589" s="89"/>
      <c r="M589" s="89"/>
      <c r="N589" s="89"/>
      <c r="O589" s="89"/>
      <c r="P589" s="89"/>
      <c r="Q589" s="89"/>
      <c r="R589" s="89"/>
      <c r="S589" s="89"/>
      <c r="T589" s="89"/>
      <c r="U589" s="93"/>
      <c r="V589" s="93"/>
      <c r="W589" s="93"/>
      <c r="X589" s="93"/>
      <c r="Y589" s="93"/>
      <c r="Z589" s="89"/>
      <c r="AA589" s="93"/>
      <c r="AB589" s="60" t="s">
        <v>640</v>
      </c>
      <c r="AC589" s="1747">
        <f>IF(SUM(AC578:AH588)&gt;0,SUM(AC578:AH588),0)</f>
        <v>50</v>
      </c>
      <c r="AD589" s="1748"/>
      <c r="AE589" s="1748"/>
      <c r="AF589" s="1748"/>
      <c r="AG589" s="1748"/>
      <c r="AH589" s="1749"/>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2" t="s">
        <v>111</v>
      </c>
      <c r="AH592" s="1712"/>
      <c r="AI592" s="1712"/>
      <c r="AJ592" s="1712"/>
      <c r="AK592" s="5"/>
      <c r="AL592" s="5"/>
      <c r="AM592" s="5"/>
      <c r="AN592" s="281"/>
    </row>
    <row r="593" spans="1:60" s="4" customFormat="1" ht="12.75" customHeight="1">
      <c r="B593" s="1673" t="s">
        <v>2244</v>
      </c>
      <c r="C593" s="1673"/>
      <c r="D593" s="1673"/>
      <c r="E593" s="1673"/>
      <c r="F593" s="1673"/>
      <c r="G593" s="1673"/>
      <c r="H593" s="1673"/>
      <c r="I593" s="1673"/>
      <c r="J593" s="1673"/>
      <c r="K593" s="1673"/>
      <c r="L593" s="1673"/>
      <c r="M593" s="1673"/>
      <c r="N593" s="1673"/>
      <c r="O593" s="1673"/>
      <c r="P593" s="1673"/>
      <c r="Q593" s="1673"/>
      <c r="R593" s="1673"/>
      <c r="S593" s="1673"/>
      <c r="T593" s="1673"/>
      <c r="U593" s="1673"/>
      <c r="V593" s="1673"/>
      <c r="W593" s="1673"/>
      <c r="X593" s="1673"/>
      <c r="Y593" s="1673"/>
      <c r="Z593" s="1673"/>
      <c r="AA593" s="1673"/>
      <c r="AB593" s="1673"/>
      <c r="AC593" s="1673"/>
      <c r="AD593" s="1673"/>
      <c r="AE593" s="1673"/>
      <c r="AF593" s="1673"/>
      <c r="AG593" s="1673"/>
      <c r="AH593" s="1673"/>
      <c r="AI593" s="21"/>
      <c r="AJ593" s="21"/>
      <c r="AK593"/>
      <c r="AL593"/>
      <c r="AM593"/>
      <c r="AN593" s="281"/>
    </row>
    <row r="594" spans="1:60" s="4" customFormat="1" ht="12.75" customHeight="1">
      <c r="A594" s="21"/>
      <c r="B594" s="1673"/>
      <c r="C594" s="1673"/>
      <c r="D594" s="1673"/>
      <c r="E594" s="1673"/>
      <c r="F594" s="1673"/>
      <c r="G594" s="1673"/>
      <c r="H594" s="1673"/>
      <c r="I594" s="1673"/>
      <c r="J594" s="1673"/>
      <c r="K594" s="1673"/>
      <c r="L594" s="1673"/>
      <c r="M594" s="1673"/>
      <c r="N594" s="1673"/>
      <c r="O594" s="1673"/>
      <c r="P594" s="1673"/>
      <c r="Q594" s="1673"/>
      <c r="R594" s="1673"/>
      <c r="S594" s="1673"/>
      <c r="T594" s="1673"/>
      <c r="U594" s="1673"/>
      <c r="V594" s="1673"/>
      <c r="W594" s="1673"/>
      <c r="X594" s="1673"/>
      <c r="Y594" s="1673"/>
      <c r="Z594" s="1673"/>
      <c r="AA594" s="1673"/>
      <c r="AB594" s="1673"/>
      <c r="AC594" s="1673"/>
      <c r="AD594" s="1673"/>
      <c r="AE594" s="1673"/>
      <c r="AF594" s="1673"/>
      <c r="AG594" s="1673"/>
      <c r="AH594" s="1673"/>
      <c r="AI594" s="21"/>
      <c r="AJ594" s="21"/>
      <c r="AK594"/>
      <c r="AL594"/>
      <c r="AM594"/>
      <c r="AN594" s="281"/>
    </row>
    <row r="595" spans="1:60" s="4" customFormat="1" ht="12.75" customHeight="1">
      <c r="A595" s="21"/>
      <c r="B595" s="1673"/>
      <c r="C595" s="1673"/>
      <c r="D595" s="1673"/>
      <c r="E595" s="1673"/>
      <c r="F595" s="1673"/>
      <c r="G595" s="1673"/>
      <c r="H595" s="1673"/>
      <c r="I595" s="1673"/>
      <c r="J595" s="1673"/>
      <c r="K595" s="1673"/>
      <c r="L595" s="1673"/>
      <c r="M595" s="1673"/>
      <c r="N595" s="1673"/>
      <c r="O595" s="1673"/>
      <c r="P595" s="1673"/>
      <c r="Q595" s="1673"/>
      <c r="R595" s="1673"/>
      <c r="S595" s="1673"/>
      <c r="T595" s="1673"/>
      <c r="U595" s="1673"/>
      <c r="V595" s="1673"/>
      <c r="W595" s="1673"/>
      <c r="X595" s="1673"/>
      <c r="Y595" s="1673"/>
      <c r="Z595" s="1673"/>
      <c r="AA595" s="1673"/>
      <c r="AB595" s="1673"/>
      <c r="AC595" s="1673"/>
      <c r="AD595" s="1673"/>
      <c r="AE595" s="1673"/>
      <c r="AF595" s="1673"/>
      <c r="AG595" s="1673"/>
      <c r="AH595" s="1673"/>
      <c r="AI595" s="21"/>
      <c r="AJ595" s="21"/>
      <c r="AK595"/>
      <c r="AL595"/>
      <c r="AM595"/>
      <c r="AN595" s="281"/>
    </row>
    <row r="596" spans="1:60" s="4" customFormat="1" ht="12.75" customHeight="1">
      <c r="A596" s="21"/>
      <c r="B596" s="1673"/>
      <c r="C596" s="1673"/>
      <c r="D596" s="1673"/>
      <c r="E596" s="1673"/>
      <c r="F596" s="1673"/>
      <c r="G596" s="1673"/>
      <c r="H596" s="1673"/>
      <c r="I596" s="1673"/>
      <c r="J596" s="1673"/>
      <c r="K596" s="1673"/>
      <c r="L596" s="1673"/>
      <c r="M596" s="1673"/>
      <c r="N596" s="1673"/>
      <c r="O596" s="1673"/>
      <c r="P596" s="1673"/>
      <c r="Q596" s="1673"/>
      <c r="R596" s="1673"/>
      <c r="S596" s="1673"/>
      <c r="T596" s="1673"/>
      <c r="U596" s="1673"/>
      <c r="V596" s="1673"/>
      <c r="W596" s="1673"/>
      <c r="X596" s="1673"/>
      <c r="Y596" s="1673"/>
      <c r="Z596" s="1673"/>
      <c r="AA596" s="1673"/>
      <c r="AB596" s="1673"/>
      <c r="AC596" s="1673"/>
      <c r="AD596" s="1673"/>
      <c r="AE596" s="1673"/>
      <c r="AF596" s="1673"/>
      <c r="AG596" s="1673"/>
      <c r="AH596" s="1673"/>
      <c r="AI596" s="21"/>
      <c r="AJ596" s="21"/>
      <c r="AK596"/>
      <c r="AL596"/>
      <c r="AM596"/>
      <c r="AN596" s="682"/>
    </row>
    <row r="597" spans="1:60">
      <c r="B597" s="1673"/>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K597"/>
      <c r="AL597"/>
      <c r="AM597"/>
      <c r="BD597" s="21"/>
      <c r="BE597" s="21"/>
      <c r="BF597" s="21"/>
      <c r="BG597" s="21"/>
      <c r="BH597" s="21"/>
    </row>
    <row r="598" spans="1:60" ht="12.75" customHeight="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row>
    <row r="599" spans="1:60" ht="12.75" customHeight="1">
      <c r="E599" s="162"/>
    </row>
    <row r="600" spans="1:60">
      <c r="J600" s="1798" t="s">
        <v>832</v>
      </c>
      <c r="K600" s="1799"/>
      <c r="L600" s="1799"/>
      <c r="M600" s="1799"/>
      <c r="N600" s="1800"/>
      <c r="O600" s="1552" t="s">
        <v>1574</v>
      </c>
      <c r="P600" s="1553"/>
      <c r="Q600" s="1553"/>
      <c r="R600" s="1553"/>
      <c r="S600" s="1554"/>
      <c r="T600" s="1552" t="s">
        <v>1846</v>
      </c>
      <c r="U600" s="1553"/>
      <c r="V600" s="1553"/>
      <c r="W600" s="1553"/>
      <c r="X600" s="1554"/>
      <c r="Y600" s="1552" t="s">
        <v>1575</v>
      </c>
      <c r="Z600" s="1553"/>
      <c r="AA600" s="1553"/>
      <c r="AB600" s="1553"/>
      <c r="AC600" s="1554"/>
      <c r="AF600"/>
      <c r="AG600"/>
      <c r="AH600"/>
      <c r="AI600"/>
      <c r="AJ600"/>
    </row>
    <row r="601" spans="1:60">
      <c r="D601"/>
      <c r="E601"/>
      <c r="F601"/>
      <c r="G601"/>
      <c r="H601"/>
      <c r="I601"/>
      <c r="J601" s="1696"/>
      <c r="K601" s="1697"/>
      <c r="L601" s="1697"/>
      <c r="M601" s="1697"/>
      <c r="N601" s="1801"/>
      <c r="O601" s="1555"/>
      <c r="P601" s="1556"/>
      <c r="Q601" s="1556"/>
      <c r="R601" s="1556"/>
      <c r="S601" s="1557"/>
      <c r="T601" s="1555"/>
      <c r="U601" s="1556"/>
      <c r="V601" s="1556"/>
      <c r="W601" s="1556"/>
      <c r="X601" s="1557"/>
      <c r="Y601" s="1555"/>
      <c r="Z601" s="1556"/>
      <c r="AA601" s="1556"/>
      <c r="AB601" s="1556"/>
      <c r="AC601" s="1557"/>
      <c r="AF601"/>
      <c r="AG601"/>
      <c r="AH601"/>
      <c r="AI601"/>
      <c r="AJ601"/>
    </row>
    <row r="602" spans="1:60">
      <c r="I602"/>
      <c r="J602" s="1696"/>
      <c r="K602" s="1697"/>
      <c r="L602" s="1697"/>
      <c r="M602" s="1697"/>
      <c r="N602" s="1801"/>
      <c r="O602" s="1555"/>
      <c r="P602" s="1556"/>
      <c r="Q602" s="1556"/>
      <c r="R602" s="1556"/>
      <c r="S602" s="1557"/>
      <c r="T602" s="1555"/>
      <c r="U602" s="1556"/>
      <c r="V602" s="1556"/>
      <c r="W602" s="1556"/>
      <c r="X602" s="1557"/>
      <c r="Y602" s="1555"/>
      <c r="Z602" s="1556"/>
      <c r="AA602" s="1556"/>
      <c r="AB602" s="1556"/>
      <c r="AC602" s="1557"/>
      <c r="AD602"/>
      <c r="AF602"/>
      <c r="AG602"/>
      <c r="AH602"/>
      <c r="AI602"/>
      <c r="AJ602"/>
    </row>
    <row r="603" spans="1:60">
      <c r="D603"/>
      <c r="E603"/>
      <c r="F603"/>
      <c r="G603"/>
      <c r="H603"/>
      <c r="I603"/>
      <c r="J603" s="1696"/>
      <c r="K603" s="1697"/>
      <c r="L603" s="1697"/>
      <c r="M603" s="1697"/>
      <c r="N603" s="1801"/>
      <c r="O603" s="1555"/>
      <c r="P603" s="1556"/>
      <c r="Q603" s="1556"/>
      <c r="R603" s="1556"/>
      <c r="S603" s="1557"/>
      <c r="T603" s="1555"/>
      <c r="U603" s="1556"/>
      <c r="V603" s="1556"/>
      <c r="W603" s="1556"/>
      <c r="X603" s="1557"/>
      <c r="Y603" s="1555"/>
      <c r="Z603" s="1556"/>
      <c r="AA603" s="1556"/>
      <c r="AB603" s="1556"/>
      <c r="AC603" s="1557"/>
      <c r="AD603"/>
      <c r="AF603"/>
      <c r="AG603"/>
      <c r="AH603"/>
      <c r="AI603"/>
      <c r="AJ603"/>
    </row>
    <row r="604" spans="1:60">
      <c r="D604"/>
      <c r="E604"/>
      <c r="F604"/>
      <c r="G604"/>
      <c r="H604"/>
      <c r="I604"/>
      <c r="J604" s="1736" t="s">
        <v>240</v>
      </c>
      <c r="K604" s="1737"/>
      <c r="L604" s="1737"/>
      <c r="M604" s="1737"/>
      <c r="N604" s="1738"/>
      <c r="O604" s="1658">
        <f>Application!CM613</f>
        <v>0</v>
      </c>
      <c r="P604" s="1659"/>
      <c r="Q604" s="1659"/>
      <c r="R604" s="1659"/>
      <c r="S604" s="1660"/>
      <c r="T604" s="1658">
        <f>Application!DR614</f>
        <v>0</v>
      </c>
      <c r="U604" s="1659"/>
      <c r="V604" s="1659"/>
      <c r="W604" s="1659"/>
      <c r="X604" s="1660"/>
      <c r="Y604" s="1742">
        <f t="shared" ref="Y604:Y609" si="8">IF(T604&gt;0,T604/O604,0)</f>
        <v>0</v>
      </c>
      <c r="Z604" s="1743"/>
      <c r="AA604" s="1743"/>
      <c r="AB604" s="1743"/>
      <c r="AC604" s="1744"/>
      <c r="AD604"/>
      <c r="AF604"/>
      <c r="AG604"/>
      <c r="AH604"/>
      <c r="AI604"/>
      <c r="AJ604"/>
    </row>
    <row r="605" spans="1:60">
      <c r="D605"/>
      <c r="E605"/>
      <c r="F605"/>
      <c r="G605"/>
      <c r="H605"/>
      <c r="I605"/>
      <c r="J605" s="1736" t="s">
        <v>35</v>
      </c>
      <c r="K605" s="1737"/>
      <c r="L605" s="1737"/>
      <c r="M605" s="1737"/>
      <c r="N605" s="1738"/>
      <c r="O605" s="1658">
        <f>Application!CH613</f>
        <v>0</v>
      </c>
      <c r="P605" s="1659"/>
      <c r="Q605" s="1659"/>
      <c r="R605" s="1659"/>
      <c r="S605" s="1660"/>
      <c r="T605" s="1658">
        <f>Application!DM614</f>
        <v>0</v>
      </c>
      <c r="U605" s="1659"/>
      <c r="V605" s="1659"/>
      <c r="W605" s="1659"/>
      <c r="X605" s="1660"/>
      <c r="Y605" s="1742">
        <f t="shared" si="8"/>
        <v>0</v>
      </c>
      <c r="Z605" s="1743"/>
      <c r="AA605" s="1743"/>
      <c r="AB605" s="1743"/>
      <c r="AC605" s="1744"/>
      <c r="AD605"/>
      <c r="AF605"/>
      <c r="AG605"/>
      <c r="AH605"/>
      <c r="AI605"/>
      <c r="AJ605"/>
      <c r="AO605" s="4"/>
    </row>
    <row r="606" spans="1:60">
      <c r="D606"/>
      <c r="E606"/>
      <c r="F606"/>
      <c r="G606"/>
      <c r="H606"/>
      <c r="I606"/>
      <c r="J606" s="1736" t="s">
        <v>280</v>
      </c>
      <c r="K606" s="1737"/>
      <c r="L606" s="1737"/>
      <c r="M606" s="1737"/>
      <c r="N606" s="1738"/>
      <c r="O606" s="1658">
        <f>Application!CC613</f>
        <v>2</v>
      </c>
      <c r="P606" s="1659"/>
      <c r="Q606" s="1659"/>
      <c r="R606" s="1659"/>
      <c r="S606" s="1660"/>
      <c r="T606" s="1658">
        <f>Application!DH614</f>
        <v>1</v>
      </c>
      <c r="U606" s="1659"/>
      <c r="V606" s="1659"/>
      <c r="W606" s="1659"/>
      <c r="X606" s="1660"/>
      <c r="Y606" s="1742">
        <f t="shared" si="8"/>
        <v>0.5</v>
      </c>
      <c r="Z606" s="1743"/>
      <c r="AA606" s="1743"/>
      <c r="AB606" s="1743"/>
      <c r="AC606" s="1744"/>
      <c r="AD606"/>
      <c r="AF606"/>
      <c r="AG606"/>
      <c r="AH606"/>
      <c r="AI606"/>
      <c r="AJ606"/>
    </row>
    <row r="607" spans="1:60">
      <c r="D607"/>
      <c r="E607"/>
      <c r="F607"/>
      <c r="G607"/>
      <c r="H607"/>
      <c r="I607"/>
      <c r="J607" s="1736" t="s">
        <v>279</v>
      </c>
      <c r="K607" s="1737"/>
      <c r="L607" s="1737"/>
      <c r="M607" s="1737"/>
      <c r="N607" s="1738"/>
      <c r="O607" s="1658">
        <f>Application!BX613</f>
        <v>53</v>
      </c>
      <c r="P607" s="1659"/>
      <c r="Q607" s="1659"/>
      <c r="R607" s="1659"/>
      <c r="S607" s="1660"/>
      <c r="T607" s="1658">
        <f>Application!DC614</f>
        <v>7</v>
      </c>
      <c r="U607" s="1659"/>
      <c r="V607" s="1659"/>
      <c r="W607" s="1659"/>
      <c r="X607" s="1660"/>
      <c r="Y607" s="1742">
        <f t="shared" si="8"/>
        <v>0.13207547169811321</v>
      </c>
      <c r="Z607" s="1743"/>
      <c r="AA607" s="1743"/>
      <c r="AB607" s="1743"/>
      <c r="AC607" s="1744"/>
      <c r="AD607"/>
      <c r="AF607"/>
      <c r="AG607"/>
      <c r="AH607"/>
      <c r="AI607"/>
      <c r="AJ607"/>
    </row>
    <row r="608" spans="1:60">
      <c r="D608"/>
      <c r="E608"/>
      <c r="F608"/>
      <c r="G608"/>
      <c r="H608"/>
      <c r="I608"/>
      <c r="J608" s="1736" t="s">
        <v>278</v>
      </c>
      <c r="K608" s="1737"/>
      <c r="L608" s="1737"/>
      <c r="M608" s="1737"/>
      <c r="N608" s="1738"/>
      <c r="O608" s="1658">
        <f>Application!BS613</f>
        <v>16</v>
      </c>
      <c r="P608" s="1659"/>
      <c r="Q608" s="1659"/>
      <c r="R608" s="1659"/>
      <c r="S608" s="1660"/>
      <c r="T608" s="1658">
        <f>Application!CX614</f>
        <v>2</v>
      </c>
      <c r="U608" s="1659"/>
      <c r="V608" s="1659"/>
      <c r="W608" s="1659"/>
      <c r="X608" s="1660"/>
      <c r="Y608" s="1742">
        <f t="shared" si="8"/>
        <v>0.125</v>
      </c>
      <c r="Z608" s="1743"/>
      <c r="AA608" s="1743"/>
      <c r="AB608" s="1743"/>
      <c r="AC608" s="1744"/>
      <c r="AD608"/>
      <c r="AF608"/>
      <c r="AG608"/>
      <c r="AH608"/>
      <c r="AI608"/>
      <c r="AJ608"/>
    </row>
    <row r="609" spans="1:60">
      <c r="D609"/>
      <c r="E609"/>
      <c r="F609"/>
      <c r="G609"/>
      <c r="H609"/>
      <c r="I609"/>
      <c r="J609" s="1736" t="s">
        <v>650</v>
      </c>
      <c r="K609" s="1737"/>
      <c r="L609" s="1737"/>
      <c r="M609" s="1737"/>
      <c r="N609" s="1738"/>
      <c r="O609" s="1658">
        <f>Application!BN613</f>
        <v>2</v>
      </c>
      <c r="P609" s="1659"/>
      <c r="Q609" s="1659"/>
      <c r="R609" s="1659"/>
      <c r="S609" s="1660"/>
      <c r="T609" s="1658">
        <f>Application!CS614</f>
        <v>1</v>
      </c>
      <c r="U609" s="1659"/>
      <c r="V609" s="1659"/>
      <c r="W609" s="1659"/>
      <c r="X609" s="1660"/>
      <c r="Y609" s="1742">
        <f t="shared" si="8"/>
        <v>0.5</v>
      </c>
      <c r="Z609" s="1743"/>
      <c r="AA609" s="1743"/>
      <c r="AB609" s="1743"/>
      <c r="AC609" s="1744"/>
      <c r="AD609"/>
      <c r="AF609"/>
      <c r="AG609"/>
      <c r="AH609"/>
      <c r="AI609"/>
      <c r="AJ609"/>
    </row>
    <row r="610" spans="1:60">
      <c r="D610"/>
      <c r="E610"/>
      <c r="F610"/>
      <c r="G610"/>
      <c r="H610"/>
      <c r="I610"/>
      <c r="J610" s="1082" t="s">
        <v>916</v>
      </c>
      <c r="K610" s="1083"/>
      <c r="L610" s="1083"/>
      <c r="M610" s="1083"/>
      <c r="N610" s="1084"/>
      <c r="O610" s="1720">
        <f>SUM(O604:S609)</f>
        <v>73</v>
      </c>
      <c r="P610" s="1721"/>
      <c r="Q610" s="1721"/>
      <c r="R610" s="1721"/>
      <c r="S610" s="1722"/>
      <c r="T610" s="1720">
        <f>SUM(T604:X609)</f>
        <v>11</v>
      </c>
      <c r="U610" s="1721"/>
      <c r="V610" s="1721"/>
      <c r="W610" s="1721"/>
      <c r="X610" s="1722"/>
      <c r="Y610" s="1795" t="s">
        <v>247</v>
      </c>
      <c r="Z610" s="1796"/>
      <c r="AA610" s="1796"/>
      <c r="AB610" s="1796"/>
      <c r="AC610" s="179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5">
        <v>2</v>
      </c>
      <c r="AK613" s="177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1" t="s">
        <v>191</v>
      </c>
      <c r="B615" s="1811"/>
      <c r="C615" s="1811"/>
      <c r="D615" s="1811"/>
      <c r="E615" s="1811"/>
      <c r="F615" s="1811"/>
      <c r="G615" s="1811"/>
      <c r="H615" s="1811"/>
      <c r="I615" s="1811"/>
      <c r="J615" s="1811"/>
      <c r="K615" s="1811"/>
      <c r="L615" s="1811"/>
      <c r="M615" s="1811"/>
      <c r="N615" s="1811"/>
      <c r="O615" s="1811"/>
      <c r="P615" s="1811"/>
      <c r="Q615" s="1811"/>
      <c r="R615" s="1811"/>
      <c r="S615" s="1811"/>
      <c r="T615" s="1811"/>
      <c r="U615" s="1811"/>
      <c r="V615" s="1811"/>
      <c r="W615" s="1811"/>
      <c r="X615" s="1811"/>
      <c r="Y615" s="1811"/>
      <c r="Z615" s="1811"/>
      <c r="AA615" s="1811"/>
      <c r="AB615" s="1811"/>
      <c r="AC615" s="1811"/>
      <c r="AD615" s="1811"/>
      <c r="AE615" s="1811"/>
      <c r="AF615" s="1811"/>
      <c r="AG615" s="1811"/>
      <c r="AH615" s="1811"/>
      <c r="AI615" s="1811"/>
      <c r="AJ615" s="1811"/>
      <c r="AK615" s="1255">
        <f>IF($AC$589=0,0,$AC$589+$AJ$613)</f>
        <v>52</v>
      </c>
      <c r="AL615" s="1256"/>
      <c r="AM615" s="125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1" t="s">
        <v>1579</v>
      </c>
      <c r="C619" s="1651"/>
      <c r="D619" s="1651"/>
      <c r="E619" s="1651"/>
      <c r="F619" s="1651"/>
      <c r="G619" s="1651"/>
      <c r="H619" s="1651"/>
      <c r="I619" s="1651"/>
      <c r="J619" s="1651"/>
      <c r="K619" s="1651"/>
      <c r="L619" s="1651"/>
      <c r="M619" s="1651"/>
      <c r="N619" s="1651"/>
      <c r="O619" s="1651"/>
      <c r="P619" s="1651"/>
      <c r="Q619" s="1651"/>
      <c r="R619" s="1651"/>
      <c r="S619" s="1651"/>
      <c r="T619" s="1651"/>
      <c r="U619" s="1651"/>
      <c r="V619" s="1651"/>
      <c r="W619" s="1651"/>
      <c r="X619" s="1651"/>
      <c r="Y619" s="1651"/>
      <c r="Z619" s="1651"/>
      <c r="AA619" s="1651"/>
      <c r="AB619" s="1651"/>
      <c r="AC619" s="1651"/>
      <c r="AD619" s="1651"/>
      <c r="AE619" s="1651"/>
      <c r="AF619" s="1651"/>
      <c r="AG619" s="1651"/>
      <c r="AH619" s="1651"/>
      <c r="AI619" s="19"/>
      <c r="AJ619" s="4"/>
      <c r="AK619" s="4"/>
      <c r="AL619" s="4"/>
      <c r="AM619" s="4"/>
    </row>
    <row r="620" spans="1:60">
      <c r="A620" s="4"/>
      <c r="B620" s="1651"/>
      <c r="C620" s="1651"/>
      <c r="D620" s="1651"/>
      <c r="E620" s="1651"/>
      <c r="F620" s="1651"/>
      <c r="G620" s="1651"/>
      <c r="H620" s="1651"/>
      <c r="I620" s="1651"/>
      <c r="J620" s="1651"/>
      <c r="K620" s="1651"/>
      <c r="L620" s="1651"/>
      <c r="M620" s="1651"/>
      <c r="N620" s="1651"/>
      <c r="O620" s="1651"/>
      <c r="P620" s="1651"/>
      <c r="Q620" s="1651"/>
      <c r="R620" s="1651"/>
      <c r="S620" s="1651"/>
      <c r="T620" s="1651"/>
      <c r="U620" s="1651"/>
      <c r="V620" s="1651"/>
      <c r="W620" s="1651"/>
      <c r="X620" s="1651"/>
      <c r="Y620" s="1651"/>
      <c r="Z620" s="1651"/>
      <c r="AA620" s="1651"/>
      <c r="AB620" s="1651"/>
      <c r="AC620" s="1651"/>
      <c r="AD620" s="1651"/>
      <c r="AE620" s="1651"/>
      <c r="AF620" s="1651"/>
      <c r="AG620" s="1651"/>
      <c r="AH620" s="1651"/>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2" t="s">
        <v>2245</v>
      </c>
      <c r="G623" s="1803"/>
      <c r="H623" s="1803"/>
      <c r="I623" s="1803"/>
      <c r="J623" s="1803"/>
      <c r="K623" s="1803"/>
      <c r="L623" s="1803"/>
      <c r="M623" s="1803"/>
      <c r="N623" s="1803"/>
      <c r="O623" s="1803"/>
      <c r="P623" s="1803"/>
      <c r="Q623" s="1803"/>
      <c r="R623" s="1803"/>
      <c r="S623" s="1803"/>
      <c r="T623" s="1803"/>
      <c r="U623" s="1803"/>
      <c r="V623" s="1803"/>
      <c r="W623" s="1803"/>
      <c r="X623" s="1803"/>
      <c r="Y623" s="1803"/>
      <c r="Z623" s="1803"/>
      <c r="AA623" s="1803"/>
      <c r="AB623" s="1803"/>
      <c r="AC623" s="1803"/>
      <c r="AD623" s="1804"/>
      <c r="AE623" s="4"/>
      <c r="AF623" s="175"/>
      <c r="AG623" s="1039" t="s">
        <v>981</v>
      </c>
      <c r="AH623" s="1039"/>
      <c r="AI623" s="1039"/>
      <c r="AJ623" s="1039"/>
      <c r="AK623" s="4"/>
      <c r="AL623" s="4"/>
      <c r="AM623" s="4"/>
      <c r="AO623" s="4"/>
      <c r="AP623" s="35"/>
    </row>
    <row r="624" spans="1:60">
      <c r="A624" s="4"/>
      <c r="B624" s="20"/>
      <c r="C624" s="45"/>
      <c r="D624" s="4"/>
      <c r="E624" s="185"/>
      <c r="F624" s="1805"/>
      <c r="G624" s="1806"/>
      <c r="H624" s="1806"/>
      <c r="I624" s="1806"/>
      <c r="J624" s="1806"/>
      <c r="K624" s="1806"/>
      <c r="L624" s="1806"/>
      <c r="M624" s="1806"/>
      <c r="N624" s="1806"/>
      <c r="O624" s="1806"/>
      <c r="P624" s="1806"/>
      <c r="Q624" s="1806"/>
      <c r="R624" s="1806"/>
      <c r="S624" s="1806"/>
      <c r="T624" s="1806"/>
      <c r="U624" s="1806"/>
      <c r="V624" s="1806"/>
      <c r="W624" s="1806"/>
      <c r="X624" s="1806"/>
      <c r="Y624" s="1806"/>
      <c r="Z624" s="1806"/>
      <c r="AA624" s="1806"/>
      <c r="AB624" s="1806"/>
      <c r="AC624" s="1806"/>
      <c r="AD624" s="1807"/>
      <c r="AE624" s="4"/>
      <c r="AF624" s="175"/>
      <c r="AG624" s="175"/>
      <c r="AH624" s="175"/>
      <c r="AI624" s="175"/>
      <c r="AJ624" s="4"/>
      <c r="AK624" s="4"/>
      <c r="AL624" s="4"/>
      <c r="AM624" s="4"/>
    </row>
    <row r="625" spans="1:60" ht="13.7" customHeight="1">
      <c r="A625" s="4"/>
      <c r="B625" s="20"/>
      <c r="C625" s="45"/>
      <c r="D625" s="4"/>
      <c r="E625" s="185"/>
      <c r="F625" s="1808"/>
      <c r="G625" s="1809"/>
      <c r="H625" s="1809"/>
      <c r="I625" s="1809"/>
      <c r="J625" s="1809"/>
      <c r="K625" s="1809"/>
      <c r="L625" s="1809"/>
      <c r="M625" s="1809"/>
      <c r="N625" s="1809"/>
      <c r="O625" s="1809"/>
      <c r="P625" s="1809"/>
      <c r="Q625" s="1809"/>
      <c r="R625" s="1809"/>
      <c r="S625" s="1809"/>
      <c r="T625" s="1809"/>
      <c r="U625" s="1809"/>
      <c r="V625" s="1809"/>
      <c r="W625" s="1809"/>
      <c r="X625" s="1809"/>
      <c r="Y625" s="1809"/>
      <c r="Z625" s="1809"/>
      <c r="AA625" s="1809"/>
      <c r="AB625" s="1809"/>
      <c r="AC625" s="1809"/>
      <c r="AD625" s="1810"/>
      <c r="AE625" s="4"/>
      <c r="AF625" s="175"/>
      <c r="AG625" s="175"/>
      <c r="AH625" s="175"/>
      <c r="AI625" s="175"/>
      <c r="AJ625" s="4"/>
      <c r="AK625" s="4"/>
      <c r="AL625" s="4"/>
      <c r="AM625" s="4"/>
    </row>
    <row r="626" spans="1:60" ht="13.7" customHeight="1">
      <c r="A626" s="4"/>
      <c r="B626" s="20"/>
      <c r="C626" s="45"/>
      <c r="D626" s="4"/>
      <c r="E626" s="185"/>
      <c r="F626" s="844"/>
      <c r="G626" s="844"/>
      <c r="H626" s="844"/>
      <c r="I626" s="844"/>
      <c r="J626" s="844"/>
      <c r="K626" s="844"/>
      <c r="L626" s="844"/>
      <c r="M626" s="844"/>
      <c r="N626" s="844"/>
      <c r="O626" s="844"/>
      <c r="P626" s="844"/>
      <c r="Q626" s="844"/>
      <c r="R626" s="844"/>
      <c r="S626" s="844"/>
      <c r="T626" s="844"/>
      <c r="U626" s="844"/>
      <c r="V626" s="844"/>
      <c r="W626" s="844"/>
      <c r="X626" s="844"/>
      <c r="Y626" s="844"/>
      <c r="Z626" s="844"/>
      <c r="AA626" s="844"/>
      <c r="AB626" s="844"/>
      <c r="AC626" s="844"/>
      <c r="AD626" s="844"/>
      <c r="AE626" s="4"/>
      <c r="AF626" s="175"/>
      <c r="AG626" s="175"/>
      <c r="AH626" s="175"/>
      <c r="AI626" s="175"/>
      <c r="AJ626" s="4"/>
      <c r="AK626" s="4"/>
      <c r="AL626" s="4"/>
      <c r="AM626" s="4"/>
    </row>
    <row r="627" spans="1:60" ht="13.7" customHeight="1">
      <c r="A627" s="4"/>
      <c r="B627" s="1651" t="s">
        <v>2246</v>
      </c>
      <c r="C627" s="1651"/>
      <c r="D627" s="1651"/>
      <c r="E627" s="1651"/>
      <c r="F627" s="1651"/>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1"/>
      <c r="AF627" s="1651"/>
      <c r="AG627" s="1651"/>
      <c r="AH627" s="1651"/>
      <c r="AI627" s="175"/>
      <c r="AJ627" s="4"/>
      <c r="AK627" s="4"/>
      <c r="AL627" s="4"/>
      <c r="AM627" s="4"/>
      <c r="AN627" s="79"/>
    </row>
    <row r="628" spans="1:60" ht="13.7" customHeight="1">
      <c r="B628" s="1651"/>
      <c r="C628" s="1651"/>
      <c r="D628" s="1651"/>
      <c r="E628" s="1651"/>
      <c r="F628" s="1651"/>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1"/>
      <c r="AF628" s="1651"/>
      <c r="AG628" s="1651"/>
      <c r="AH628" s="1651"/>
      <c r="AI628" s="162"/>
      <c r="AJ628" s="4"/>
      <c r="AK628" s="4"/>
      <c r="AL628" s="4"/>
      <c r="AM628" s="4"/>
      <c r="AN628" s="79"/>
      <c r="AR628" s="41"/>
    </row>
    <row r="629" spans="1:60" ht="13.7" customHeight="1">
      <c r="A629" s="4"/>
      <c r="B629" s="1651"/>
      <c r="C629" s="1651"/>
      <c r="D629" s="1651"/>
      <c r="E629" s="1651"/>
      <c r="F629" s="1651"/>
      <c r="G629" s="1651"/>
      <c r="H629" s="1651"/>
      <c r="I629" s="1651"/>
      <c r="J629" s="1651"/>
      <c r="K629" s="1651"/>
      <c r="L629" s="1651"/>
      <c r="M629" s="1651"/>
      <c r="N629" s="1651"/>
      <c r="O629" s="1651"/>
      <c r="P629" s="1651"/>
      <c r="Q629" s="1651"/>
      <c r="R629" s="1651"/>
      <c r="S629" s="1651"/>
      <c r="T629" s="1651"/>
      <c r="U629" s="1651"/>
      <c r="V629" s="1651"/>
      <c r="W629" s="1651"/>
      <c r="X629" s="1651"/>
      <c r="Y629" s="1651"/>
      <c r="Z629" s="1651"/>
      <c r="AA629" s="1651"/>
      <c r="AB629" s="1651"/>
      <c r="AC629" s="1651"/>
      <c r="AD629" s="1651"/>
      <c r="AE629" s="1651"/>
      <c r="AF629" s="1651"/>
      <c r="AG629" s="1651"/>
      <c r="AH629" s="1651"/>
      <c r="AI629" s="162"/>
      <c r="AJ629" s="4"/>
      <c r="AK629" s="4"/>
      <c r="AL629" s="4"/>
      <c r="AM629" s="4"/>
      <c r="AN629" s="79"/>
    </row>
    <row r="630" spans="1:60" ht="13.7" customHeight="1">
      <c r="A630" s="4"/>
      <c r="B630" s="1651"/>
      <c r="C630" s="1651"/>
      <c r="D630" s="1651"/>
      <c r="E630" s="1651"/>
      <c r="F630" s="1651"/>
      <c r="G630" s="1651"/>
      <c r="H630" s="1651"/>
      <c r="I630" s="1651"/>
      <c r="J630" s="1651"/>
      <c r="K630" s="1651"/>
      <c r="L630" s="1651"/>
      <c r="M630" s="1651"/>
      <c r="N630" s="1651"/>
      <c r="O630" s="1651"/>
      <c r="P630" s="1651"/>
      <c r="Q630" s="1651"/>
      <c r="R630" s="1651"/>
      <c r="S630" s="1651"/>
      <c r="T630" s="1651"/>
      <c r="U630" s="1651"/>
      <c r="V630" s="1651"/>
      <c r="W630" s="1651"/>
      <c r="X630" s="1651"/>
      <c r="Y630" s="1651"/>
      <c r="Z630" s="1651"/>
      <c r="AA630" s="1651"/>
      <c r="AB630" s="1651"/>
      <c r="AC630" s="1651"/>
      <c r="AD630" s="1651"/>
      <c r="AE630" s="1651"/>
      <c r="AF630" s="1651"/>
      <c r="AG630" s="1651"/>
      <c r="AH630" s="1651"/>
      <c r="AI630" s="162"/>
      <c r="AJ630" s="4"/>
      <c r="AK630" s="4"/>
      <c r="AL630" s="4"/>
      <c r="AM630" s="4"/>
      <c r="AN630" s="79"/>
    </row>
    <row r="631" spans="1:60" ht="13.7" customHeight="1">
      <c r="A631" s="4"/>
      <c r="B631" s="1651"/>
      <c r="C631" s="1651"/>
      <c r="D631" s="1651"/>
      <c r="E631" s="1651"/>
      <c r="F631" s="1651"/>
      <c r="G631" s="1651"/>
      <c r="H631" s="1651"/>
      <c r="I631" s="1651"/>
      <c r="J631" s="1651"/>
      <c r="K631" s="1651"/>
      <c r="L631" s="1651"/>
      <c r="M631" s="1651"/>
      <c r="N631" s="1651"/>
      <c r="O631" s="1651"/>
      <c r="P631" s="1651"/>
      <c r="Q631" s="1651"/>
      <c r="R631" s="1651"/>
      <c r="S631" s="1651"/>
      <c r="T631" s="1651"/>
      <c r="U631" s="1651"/>
      <c r="V631" s="1651"/>
      <c r="W631" s="1651"/>
      <c r="X631" s="1651"/>
      <c r="Y631" s="1651"/>
      <c r="Z631" s="1651"/>
      <c r="AA631" s="1651"/>
      <c r="AB631" s="1651"/>
      <c r="AC631" s="1651"/>
      <c r="AD631" s="1651"/>
      <c r="AE631" s="1651"/>
      <c r="AF631" s="1651"/>
      <c r="AG631" s="1651"/>
      <c r="AH631" s="1651"/>
      <c r="AI631" s="162"/>
      <c r="AJ631" s="4"/>
      <c r="AK631" s="4"/>
      <c r="AL631" s="4"/>
      <c r="AM631" s="4"/>
      <c r="AN631" s="79"/>
    </row>
    <row r="632" spans="1:60" ht="13.7" customHeight="1">
      <c r="A632" s="4"/>
      <c r="B632" s="1651"/>
      <c r="C632" s="1651"/>
      <c r="D632" s="1651"/>
      <c r="E632" s="1651"/>
      <c r="F632" s="1651"/>
      <c r="G632" s="1651"/>
      <c r="H632" s="1651"/>
      <c r="I632" s="1651"/>
      <c r="J632" s="1651"/>
      <c r="K632" s="1651"/>
      <c r="L632" s="1651"/>
      <c r="M632" s="1651"/>
      <c r="N632" s="1651"/>
      <c r="O632" s="1651"/>
      <c r="P632" s="1651"/>
      <c r="Q632" s="1651"/>
      <c r="R632" s="1651"/>
      <c r="S632" s="1651"/>
      <c r="T632" s="1651"/>
      <c r="U632" s="1651"/>
      <c r="V632" s="1651"/>
      <c r="W632" s="1651"/>
      <c r="X632" s="1651"/>
      <c r="Y632" s="1651"/>
      <c r="Z632" s="1651"/>
      <c r="AA632" s="1651"/>
      <c r="AB632" s="1651"/>
      <c r="AC632" s="1651"/>
      <c r="AD632" s="1651"/>
      <c r="AE632" s="1651"/>
      <c r="AF632" s="1651"/>
      <c r="AG632" s="1651"/>
      <c r="AH632" s="1651"/>
      <c r="AI632" s="162"/>
      <c r="AJ632" s="4"/>
      <c r="AK632" s="4"/>
      <c r="AL632" s="4"/>
      <c r="AM632" s="4"/>
      <c r="AN632" s="79"/>
    </row>
    <row r="633" spans="1:60" ht="13.7" customHeight="1">
      <c r="A633" s="4"/>
      <c r="B633" s="1651"/>
      <c r="C633" s="1651"/>
      <c r="D633" s="1651"/>
      <c r="E633" s="1651"/>
      <c r="F633" s="1651"/>
      <c r="G633" s="1651"/>
      <c r="H633" s="1651"/>
      <c r="I633" s="1651"/>
      <c r="J633" s="1651"/>
      <c r="K633" s="1651"/>
      <c r="L633" s="1651"/>
      <c r="M633" s="1651"/>
      <c r="N633" s="1651"/>
      <c r="O633" s="1651"/>
      <c r="P633" s="1651"/>
      <c r="Q633" s="1651"/>
      <c r="R633" s="1651"/>
      <c r="S633" s="1651"/>
      <c r="T633" s="1651"/>
      <c r="U633" s="1651"/>
      <c r="V633" s="1651"/>
      <c r="W633" s="1651"/>
      <c r="X633" s="1651"/>
      <c r="Y633" s="1651"/>
      <c r="Z633" s="1651"/>
      <c r="AA633" s="1651"/>
      <c r="AB633" s="1651"/>
      <c r="AC633" s="1651"/>
      <c r="AD633" s="1651"/>
      <c r="AE633" s="1651"/>
      <c r="AF633" s="1651"/>
      <c r="AG633" s="1651"/>
      <c r="AH633" s="1651"/>
      <c r="AI633" s="162"/>
      <c r="AJ633" s="4"/>
      <c r="AK633" s="4"/>
      <c r="AL633" s="4"/>
      <c r="AM633" s="4"/>
      <c r="AN633" s="79"/>
    </row>
    <row r="634" spans="1:60">
      <c r="A634" s="4"/>
      <c r="B634" s="1651"/>
      <c r="C634" s="1651"/>
      <c r="D634" s="1651"/>
      <c r="E634" s="1651"/>
      <c r="F634" s="1651"/>
      <c r="G634" s="1651"/>
      <c r="H634" s="1651"/>
      <c r="I634" s="1651"/>
      <c r="J634" s="1651"/>
      <c r="K634" s="1651"/>
      <c r="L634" s="1651"/>
      <c r="M634" s="1651"/>
      <c r="N634" s="1651"/>
      <c r="O634" s="1651"/>
      <c r="P634" s="1651"/>
      <c r="Q634" s="1651"/>
      <c r="R634" s="1651"/>
      <c r="S634" s="1651"/>
      <c r="T634" s="1651"/>
      <c r="U634" s="1651"/>
      <c r="V634" s="1651"/>
      <c r="W634" s="1651"/>
      <c r="X634" s="1651"/>
      <c r="Y634" s="1651"/>
      <c r="Z634" s="1651"/>
      <c r="AA634" s="1651"/>
      <c r="AB634" s="1651"/>
      <c r="AC634" s="1651"/>
      <c r="AD634" s="1651"/>
      <c r="AE634" s="1651"/>
      <c r="AF634" s="1651"/>
      <c r="AG634" s="1651"/>
      <c r="AH634" s="1651"/>
      <c r="AI634" s="162"/>
      <c r="AJ634" s="4"/>
      <c r="AK634" s="4"/>
      <c r="AL634" s="4"/>
      <c r="AM634" s="4"/>
      <c r="AN634" s="79"/>
    </row>
    <row r="635" spans="1:60">
      <c r="A635" s="4"/>
      <c r="B635" s="1651"/>
      <c r="C635" s="1651"/>
      <c r="D635" s="1651"/>
      <c r="E635" s="1651"/>
      <c r="F635" s="1651"/>
      <c r="G635" s="1651"/>
      <c r="H635" s="1651"/>
      <c r="I635" s="1651"/>
      <c r="J635" s="1651"/>
      <c r="K635" s="1651"/>
      <c r="L635" s="1651"/>
      <c r="M635" s="1651"/>
      <c r="N635" s="1651"/>
      <c r="O635" s="1651"/>
      <c r="P635" s="1651"/>
      <c r="Q635" s="1651"/>
      <c r="R635" s="1651"/>
      <c r="S635" s="1651"/>
      <c r="T635" s="1651"/>
      <c r="U635" s="1651"/>
      <c r="V635" s="1651"/>
      <c r="W635" s="1651"/>
      <c r="X635" s="1651"/>
      <c r="Y635" s="1651"/>
      <c r="Z635" s="1651"/>
      <c r="AA635" s="1651"/>
      <c r="AB635" s="1651"/>
      <c r="AC635" s="1651"/>
      <c r="AD635" s="1651"/>
      <c r="AE635" s="1651"/>
      <c r="AF635" s="1651"/>
      <c r="AG635" s="1651"/>
      <c r="AH635" s="1651"/>
      <c r="AI635" s="162"/>
      <c r="AJ635" s="4"/>
      <c r="AK635" s="4"/>
      <c r="AL635" s="4"/>
      <c r="AM635" s="4"/>
      <c r="AN635" s="79"/>
    </row>
    <row r="636" spans="1:60">
      <c r="A636" s="4"/>
      <c r="B636" s="1651"/>
      <c r="C636" s="1651"/>
      <c r="D636" s="1651"/>
      <c r="E636" s="1651"/>
      <c r="F636" s="1651"/>
      <c r="G636" s="1651"/>
      <c r="H636" s="1651"/>
      <c r="I636" s="1651"/>
      <c r="J636" s="1651"/>
      <c r="K636" s="1651"/>
      <c r="L636" s="1651"/>
      <c r="M636" s="1651"/>
      <c r="N636" s="1651"/>
      <c r="O636" s="1651"/>
      <c r="P636" s="1651"/>
      <c r="Q636" s="1651"/>
      <c r="R636" s="1651"/>
      <c r="S636" s="1651"/>
      <c r="T636" s="1651"/>
      <c r="U636" s="1651"/>
      <c r="V636" s="1651"/>
      <c r="W636" s="1651"/>
      <c r="X636" s="1651"/>
      <c r="Y636" s="1651"/>
      <c r="Z636" s="1651"/>
      <c r="AA636" s="1651"/>
      <c r="AB636" s="1651"/>
      <c r="AC636" s="1651"/>
      <c r="AD636" s="1651"/>
      <c r="AE636" s="1651"/>
      <c r="AF636" s="1651"/>
      <c r="AG636" s="1651"/>
      <c r="AH636" s="1651"/>
      <c r="AI636" s="162"/>
      <c r="AJ636" s="4"/>
      <c r="AK636" s="4"/>
      <c r="AL636" s="4"/>
      <c r="AM636" s="4"/>
      <c r="AN636" s="79"/>
    </row>
    <row r="637" spans="1:60">
      <c r="A637" s="4"/>
      <c r="B637" s="1651"/>
      <c r="C637" s="1651"/>
      <c r="D637" s="1651"/>
      <c r="E637" s="1651"/>
      <c r="F637" s="1651"/>
      <c r="G637" s="1651"/>
      <c r="H637" s="1651"/>
      <c r="I637" s="1651"/>
      <c r="J637" s="1651"/>
      <c r="K637" s="1651"/>
      <c r="L637" s="1651"/>
      <c r="M637" s="1651"/>
      <c r="N637" s="1651"/>
      <c r="O637" s="1651"/>
      <c r="P637" s="1651"/>
      <c r="Q637" s="1651"/>
      <c r="R637" s="1651"/>
      <c r="S637" s="1651"/>
      <c r="T637" s="1651"/>
      <c r="U637" s="1651"/>
      <c r="V637" s="1651"/>
      <c r="W637" s="1651"/>
      <c r="X637" s="1651"/>
      <c r="Y637" s="1651"/>
      <c r="Z637" s="1651"/>
      <c r="AA637" s="1651"/>
      <c r="AB637" s="1651"/>
      <c r="AC637" s="1651"/>
      <c r="AD637" s="1651"/>
      <c r="AE637" s="1651"/>
      <c r="AF637" s="1651"/>
      <c r="AG637" s="1651"/>
      <c r="AH637" s="1651"/>
      <c r="AI637" s="162"/>
      <c r="AJ637" s="4"/>
      <c r="AK637" s="4"/>
      <c r="AL637" s="4"/>
      <c r="AM637" s="4"/>
      <c r="AN637" s="79"/>
    </row>
    <row r="638" spans="1:60" s="657" customFormat="1" ht="12.4" customHeight="1">
      <c r="A638" s="4"/>
      <c r="B638" s="1651"/>
      <c r="C638" s="1651"/>
      <c r="D638" s="1651"/>
      <c r="E638" s="1651"/>
      <c r="F638" s="1651"/>
      <c r="G638" s="1651"/>
      <c r="H638" s="1651"/>
      <c r="I638" s="1651"/>
      <c r="J638" s="1651"/>
      <c r="K638" s="1651"/>
      <c r="L638" s="1651"/>
      <c r="M638" s="1651"/>
      <c r="N638" s="1651"/>
      <c r="O638" s="1651"/>
      <c r="P638" s="1651"/>
      <c r="Q638" s="1651"/>
      <c r="R638" s="1651"/>
      <c r="S638" s="1651"/>
      <c r="T638" s="1651"/>
      <c r="U638" s="1651"/>
      <c r="V638" s="1651"/>
      <c r="W638" s="1651"/>
      <c r="X638" s="1651"/>
      <c r="Y638" s="1651"/>
      <c r="Z638" s="1651"/>
      <c r="AA638" s="1651"/>
      <c r="AB638" s="1651"/>
      <c r="AC638" s="1651"/>
      <c r="AD638" s="1651"/>
      <c r="AE638" s="1651"/>
      <c r="AF638" s="1651"/>
      <c r="AG638" s="1651"/>
      <c r="AH638" s="1651"/>
      <c r="AI638" s="162"/>
      <c r="AJ638" s="4"/>
      <c r="AK638" s="4"/>
      <c r="AL638" s="4"/>
      <c r="AM638" s="4"/>
      <c r="AN638" s="691"/>
      <c r="BD638" s="659"/>
      <c r="BE638" s="659"/>
      <c r="BF638" s="659"/>
      <c r="BG638" s="659"/>
      <c r="BH638" s="659"/>
    </row>
    <row r="639" spans="1:60">
      <c r="A639" s="4"/>
      <c r="B639" s="1651"/>
      <c r="C639" s="1651"/>
      <c r="D639" s="1651"/>
      <c r="E639" s="1651"/>
      <c r="F639" s="1651"/>
      <c r="G639" s="1651"/>
      <c r="H639" s="1651"/>
      <c r="I639" s="1651"/>
      <c r="J639" s="1651"/>
      <c r="K639" s="1651"/>
      <c r="L639" s="1651"/>
      <c r="M639" s="1651"/>
      <c r="N639" s="1651"/>
      <c r="O639" s="1651"/>
      <c r="P639" s="1651"/>
      <c r="Q639" s="1651"/>
      <c r="R639" s="1651"/>
      <c r="S639" s="1651"/>
      <c r="T639" s="1651"/>
      <c r="U639" s="1651"/>
      <c r="V639" s="1651"/>
      <c r="W639" s="1651"/>
      <c r="X639" s="1651"/>
      <c r="Y639" s="1651"/>
      <c r="Z639" s="1651"/>
      <c r="AA639" s="1651"/>
      <c r="AB639" s="1651"/>
      <c r="AC639" s="1651"/>
      <c r="AD639" s="1651"/>
      <c r="AE639" s="1651"/>
      <c r="AF639" s="1651"/>
      <c r="AG639" s="1651"/>
      <c r="AH639" s="1651"/>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5">
        <f>IF($C$623="yes",10,0)</f>
        <v>10</v>
      </c>
      <c r="AL641" s="1256"/>
      <c r="AM641" s="125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5"/>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5"/>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132</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2"/>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8"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116</v>
      </c>
      <c r="D655" s="1232"/>
      <c r="E655" s="185" t="s">
        <v>931</v>
      </c>
      <c r="F655" s="515"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6"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6"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51" t="s">
        <v>2349</v>
      </c>
      <c r="G669" s="1651"/>
      <c r="H669" s="1651"/>
      <c r="I669" s="1651"/>
      <c r="J669" s="1651"/>
      <c r="K669" s="1651"/>
      <c r="L669" s="1651"/>
      <c r="M669" s="1651"/>
      <c r="N669" s="1651"/>
      <c r="O669" s="1651"/>
      <c r="P669" s="1651"/>
      <c r="Q669" s="1651"/>
      <c r="R669" s="1651"/>
      <c r="S669" s="1651"/>
      <c r="T669" s="1651"/>
      <c r="U669" s="1651"/>
      <c r="V669" s="1651"/>
      <c r="W669" s="1651"/>
      <c r="X669" s="1651"/>
      <c r="Y669" s="1651"/>
      <c r="Z669" s="1651"/>
      <c r="AA669" s="1651"/>
      <c r="AB669" s="1651"/>
      <c r="AC669" s="1651"/>
      <c r="AD669" s="1651"/>
      <c r="AE669" s="19"/>
      <c r="AF669" s="19"/>
      <c r="AG669" s="3" t="s">
        <v>111</v>
      </c>
      <c r="AH669" s="19"/>
      <c r="AI669" s="19"/>
      <c r="AJ669" s="4"/>
      <c r="AK669" s="4"/>
      <c r="AL669" s="4"/>
      <c r="AM669" s="4"/>
      <c r="AN669" s="79"/>
      <c r="AO669" s="21"/>
    </row>
    <row r="670" spans="1:41">
      <c r="A670" s="4"/>
      <c r="B670" s="19"/>
      <c r="C670" s="19"/>
      <c r="D670" s="19"/>
      <c r="E670" s="19"/>
      <c r="F670" s="1651"/>
      <c r="G670" s="1651"/>
      <c r="H670" s="1651"/>
      <c r="I670" s="1651"/>
      <c r="J670" s="1651"/>
      <c r="K670" s="1651"/>
      <c r="L670" s="1651"/>
      <c r="M670" s="1651"/>
      <c r="N670" s="1651"/>
      <c r="O670" s="1651"/>
      <c r="P670" s="1651"/>
      <c r="Q670" s="1651"/>
      <c r="R670" s="1651"/>
      <c r="S670" s="1651"/>
      <c r="T670" s="1651"/>
      <c r="U670" s="1651"/>
      <c r="V670" s="1651"/>
      <c r="W670" s="1651"/>
      <c r="X670" s="1651"/>
      <c r="Y670" s="1651"/>
      <c r="Z670" s="1651"/>
      <c r="AA670" s="1651"/>
      <c r="AB670" s="1651"/>
      <c r="AC670" s="1651"/>
      <c r="AD670" s="1651"/>
      <c r="AE670" s="19"/>
      <c r="AF670" s="19"/>
      <c r="AG670" s="19"/>
      <c r="AH670" s="19"/>
      <c r="AI670" s="19"/>
      <c r="AJ670" s="4"/>
      <c r="AK670" s="4"/>
      <c r="AL670" s="4"/>
      <c r="AM670" s="4"/>
      <c r="AN670" s="79"/>
      <c r="AO670" s="21"/>
    </row>
    <row r="671" spans="1:41" ht="0.75" customHeight="1">
      <c r="A671" s="4"/>
      <c r="B671" s="19"/>
      <c r="C671" s="19"/>
      <c r="D671" s="19"/>
      <c r="E671" s="19"/>
      <c r="F671" s="1651"/>
      <c r="G671" s="1651"/>
      <c r="H671" s="1651"/>
      <c r="I671" s="1651"/>
      <c r="J671" s="1651"/>
      <c r="K671" s="1651"/>
      <c r="L671" s="1651"/>
      <c r="M671" s="1651"/>
      <c r="N671" s="1651"/>
      <c r="O671" s="1651"/>
      <c r="P671" s="1651"/>
      <c r="Q671" s="1651"/>
      <c r="R671" s="1651"/>
      <c r="S671" s="1651"/>
      <c r="T671" s="1651"/>
      <c r="U671" s="1651"/>
      <c r="V671" s="1651"/>
      <c r="W671" s="1651"/>
      <c r="X671" s="1651"/>
      <c r="Y671" s="1651"/>
      <c r="Z671" s="1651"/>
      <c r="AA671" s="1651"/>
      <c r="AB671" s="1651"/>
      <c r="AC671" s="1651"/>
      <c r="AD671" s="1651"/>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5">
        <f>$AO$651</f>
        <v>2</v>
      </c>
      <c r="AL684" s="1256"/>
      <c r="AM684" s="125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3" t="s">
        <v>757</v>
      </c>
      <c r="B687" s="1793"/>
      <c r="C687" s="1793"/>
      <c r="D687" s="1793"/>
      <c r="E687" s="1793"/>
      <c r="F687" s="1793"/>
      <c r="G687" s="1793"/>
      <c r="H687" s="1793"/>
      <c r="I687" s="1793"/>
      <c r="J687" s="1793"/>
      <c r="K687" s="1793"/>
      <c r="L687" s="1793"/>
      <c r="M687" s="1793"/>
      <c r="N687" s="1793"/>
      <c r="O687" s="1793"/>
      <c r="P687" s="1793"/>
      <c r="Q687" s="1793"/>
      <c r="R687" s="1793"/>
      <c r="S687" s="1793"/>
      <c r="T687" s="1793"/>
      <c r="U687" s="1793"/>
      <c r="V687" s="1793"/>
      <c r="W687" s="1793"/>
      <c r="X687" s="1793"/>
      <c r="Y687" s="1793"/>
      <c r="Z687" s="1793"/>
      <c r="AA687" s="1793"/>
      <c r="AB687" s="1793"/>
      <c r="AC687" s="1793"/>
      <c r="AD687" s="1793"/>
      <c r="AE687" s="1793"/>
      <c r="AF687" s="1793"/>
      <c r="AG687" s="1793"/>
      <c r="AH687" s="1793"/>
      <c r="AI687" s="1793"/>
      <c r="AJ687" s="1793"/>
      <c r="AK687" s="1793"/>
      <c r="AL687" s="1793"/>
      <c r="AM687" s="1793"/>
      <c r="AO687" s="206"/>
      <c r="AP687" s="206"/>
      <c r="AQ687" s="206"/>
    </row>
    <row r="688" spans="1:60">
      <c r="A688" s="1794"/>
      <c r="B688" s="1794"/>
      <c r="C688" s="1794"/>
      <c r="D688" s="1794"/>
      <c r="E688" s="1794"/>
      <c r="F688" s="1794"/>
      <c r="G688" s="1794"/>
      <c r="H688" s="1794"/>
      <c r="I688" s="1794"/>
      <c r="J688" s="1794"/>
      <c r="K688" s="1794"/>
      <c r="L688" s="1794"/>
      <c r="M688" s="1794"/>
      <c r="N688" s="1794"/>
      <c r="O688" s="1794"/>
      <c r="P688" s="1794"/>
      <c r="Q688" s="1794"/>
      <c r="R688" s="1794"/>
      <c r="S688" s="1794"/>
      <c r="T688" s="1794"/>
      <c r="U688" s="1794"/>
      <c r="V688" s="1794"/>
      <c r="W688" s="1794"/>
      <c r="X688" s="1794"/>
      <c r="Y688" s="1794"/>
      <c r="Z688" s="1794"/>
      <c r="AA688" s="1794"/>
      <c r="AB688" s="1794"/>
      <c r="AC688" s="1794"/>
      <c r="AD688" s="1794"/>
      <c r="AE688" s="1794"/>
      <c r="AF688" s="1794"/>
      <c r="AG688" s="1794"/>
      <c r="AH688" s="1794"/>
      <c r="AI688" s="1794"/>
      <c r="AJ688" s="1794"/>
      <c r="AK688" s="1794"/>
      <c r="AL688" s="1794"/>
      <c r="AM688" s="179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5">
        <f>SUM(AO690:AO691)</f>
        <v>15</v>
      </c>
      <c r="AQ689" s="206"/>
    </row>
    <row r="690" spans="1:43">
      <c r="A690" s="1646" t="s">
        <v>2039</v>
      </c>
      <c r="B690" s="1646"/>
      <c r="C690" s="1646"/>
      <c r="D690" s="1646"/>
      <c r="E690" s="1646"/>
      <c r="F690" s="1646"/>
      <c r="G690" s="1646"/>
      <c r="H690" s="1646"/>
      <c r="I690" s="1646"/>
      <c r="J690" s="1646"/>
      <c r="K690" s="1646"/>
      <c r="L690" s="1646"/>
      <c r="M690" s="1646"/>
      <c r="N690" s="1646"/>
      <c r="O690" s="1646"/>
      <c r="P690" s="1646"/>
      <c r="Q690" s="1646"/>
      <c r="R690" s="1646"/>
      <c r="S690" s="1646"/>
      <c r="T690" s="1646"/>
      <c r="U690" s="1646"/>
      <c r="V690" s="1646"/>
      <c r="W690" s="1646"/>
      <c r="X690" s="1646"/>
      <c r="Y690" s="1646"/>
      <c r="Z690" s="1646"/>
      <c r="AA690" s="1646"/>
      <c r="AB690" s="1646"/>
      <c r="AC690" s="1646"/>
      <c r="AD690" s="1646"/>
      <c r="AE690" s="1646"/>
      <c r="AF690" s="1646"/>
      <c r="AG690" s="1646"/>
      <c r="AH690" s="1646"/>
      <c r="AI690" s="1646"/>
      <c r="AJ690" s="1646"/>
      <c r="AK690" s="1646"/>
      <c r="AL690" s="1646"/>
      <c r="AM690" s="1646"/>
      <c r="AO690" s="206">
        <f>IF(T699&gt;15,15,T699)</f>
        <v>15</v>
      </c>
      <c r="AP690" s="206"/>
      <c r="AQ690" s="206"/>
    </row>
    <row r="691" spans="1:43">
      <c r="A691" s="1646" t="s">
        <v>2040</v>
      </c>
      <c r="B691" s="1646"/>
      <c r="C691" s="1646"/>
      <c r="D691" s="1646"/>
      <c r="E691" s="1646"/>
      <c r="F691" s="1646"/>
      <c r="G691" s="1646"/>
      <c r="H691" s="1646"/>
      <c r="I691" s="1646"/>
      <c r="J691" s="1646"/>
      <c r="K691" s="1646"/>
      <c r="L691" s="1646"/>
      <c r="M691" s="1646"/>
      <c r="N691" s="1646"/>
      <c r="O691" s="1646"/>
      <c r="P691" s="1646"/>
      <c r="Q691" s="1646"/>
      <c r="R691" s="1646"/>
      <c r="S691" s="1646"/>
      <c r="T691" s="1646"/>
      <c r="U691" s="1646"/>
      <c r="V691" s="1646"/>
      <c r="W691" s="1646"/>
      <c r="X691" s="1646"/>
      <c r="Y691" s="1646"/>
      <c r="Z691" s="1646"/>
      <c r="AA691" s="1646"/>
      <c r="AB691" s="1646"/>
      <c r="AC691" s="1646"/>
      <c r="AD691" s="1646"/>
      <c r="AE691" s="1646"/>
      <c r="AF691" s="1646"/>
      <c r="AG691" s="1646"/>
      <c r="AH691" s="1646"/>
      <c r="AI691" s="1646"/>
      <c r="AJ691" s="1646"/>
      <c r="AK691" s="1646"/>
      <c r="AL691" s="1646"/>
      <c r="AM691" s="1646"/>
      <c r="AO691" s="206">
        <f>IF(T700&gt;10,10,T700)</f>
        <v>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0" t="s">
        <v>249</v>
      </c>
      <c r="U692" s="1181"/>
      <c r="V692" s="1181"/>
      <c r="W692" s="1181"/>
      <c r="X692" s="1181"/>
      <c r="Y692" s="1182"/>
      <c r="Z692" s="1550" t="s">
        <v>248</v>
      </c>
      <c r="AA692" s="1181"/>
      <c r="AB692" s="1181"/>
      <c r="AC692" s="1181"/>
      <c r="AD692" s="1181"/>
      <c r="AE692" s="1182"/>
      <c r="AF692" s="1550" t="s">
        <v>250</v>
      </c>
      <c r="AG692" s="1181"/>
      <c r="AH692" s="1181"/>
      <c r="AI692" s="1181"/>
      <c r="AJ692" s="1181"/>
      <c r="AK692" s="1182"/>
      <c r="AL692" s="793"/>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2"/>
      <c r="U693" s="1183"/>
      <c r="V693" s="1183"/>
      <c r="W693" s="1183"/>
      <c r="X693" s="1183"/>
      <c r="Y693" s="1184"/>
      <c r="Z693" s="1512"/>
      <c r="AA693" s="1183"/>
      <c r="AB693" s="1183"/>
      <c r="AC693" s="1183"/>
      <c r="AD693" s="1183"/>
      <c r="AE693" s="1184"/>
      <c r="AF693" s="1512"/>
      <c r="AG693" s="1183"/>
      <c r="AH693" s="1183"/>
      <c r="AI693" s="1183"/>
      <c r="AJ693" s="1183"/>
      <c r="AK693" s="1184"/>
      <c r="AL693" s="793"/>
      <c r="AM693" s="20"/>
    </row>
    <row r="694" spans="1:43">
      <c r="A694" s="607" t="s">
        <v>688</v>
      </c>
      <c r="B694" s="1762" t="s">
        <v>285</v>
      </c>
      <c r="C694" s="1762"/>
      <c r="D694" s="1762"/>
      <c r="E694" s="1762"/>
      <c r="F694" s="1762"/>
      <c r="G694" s="1762"/>
      <c r="H694" s="1762"/>
      <c r="I694" s="1762"/>
      <c r="J694" s="1762"/>
      <c r="K694" s="1762"/>
      <c r="L694" s="1762"/>
      <c r="M694" s="1762"/>
      <c r="N694" s="1762"/>
      <c r="O694" s="1762"/>
      <c r="P694" s="1762"/>
      <c r="Q694" s="1762"/>
      <c r="R694" s="1762"/>
      <c r="S694" s="1763"/>
      <c r="T694" s="1761">
        <f>SUM(T695:Y696)</f>
        <v>10</v>
      </c>
      <c r="U694" s="1761"/>
      <c r="V694" s="1761"/>
      <c r="W694" s="1761"/>
      <c r="X694" s="1761"/>
      <c r="Y694" s="1761"/>
      <c r="Z694" s="1185">
        <v>10</v>
      </c>
      <c r="AA694" s="1185"/>
      <c r="AB694" s="1185"/>
      <c r="AC694" s="1185"/>
      <c r="AD694" s="1185"/>
      <c r="AE694" s="1185"/>
      <c r="AF694" s="1185">
        <f>IF(T694&gt;Z694,Z694,T694)</f>
        <v>10</v>
      </c>
      <c r="AG694" s="1185"/>
      <c r="AH694" s="1185"/>
      <c r="AI694" s="1185"/>
      <c r="AJ694" s="1185"/>
      <c r="AK694" s="1185"/>
      <c r="AL694" s="793"/>
      <c r="AM694" s="20"/>
      <c r="AO694" s="4">
        <f>IF(T703&gt;50,50,T703)</f>
        <v>50</v>
      </c>
    </row>
    <row r="695" spans="1:43">
      <c r="A695" s="627"/>
      <c r="B695" s="628"/>
      <c r="C695" s="633"/>
      <c r="D695" s="307" t="s">
        <v>224</v>
      </c>
      <c r="E695" s="1765" t="s">
        <v>251</v>
      </c>
      <c r="F695" s="1765"/>
      <c r="G695" s="1765"/>
      <c r="H695" s="1765"/>
      <c r="I695" s="1765"/>
      <c r="J695" s="1765"/>
      <c r="K695" s="1765"/>
      <c r="L695" s="1765"/>
      <c r="M695" s="1765"/>
      <c r="N695" s="1765"/>
      <c r="O695" s="1765"/>
      <c r="P695" s="1765"/>
      <c r="Q695" s="1765"/>
      <c r="R695" s="1765"/>
      <c r="S695" s="1766"/>
      <c r="T695" s="1764">
        <f>AJ31</f>
        <v>7</v>
      </c>
      <c r="U695" s="1764"/>
      <c r="V695" s="1764"/>
      <c r="W695" s="1764"/>
      <c r="X695" s="1764"/>
      <c r="Y695" s="1764"/>
      <c r="Z695" s="1670">
        <v>7</v>
      </c>
      <c r="AA695" s="1670"/>
      <c r="AB695" s="1670"/>
      <c r="AC695" s="1670"/>
      <c r="AD695" s="1670"/>
      <c r="AE695" s="1670"/>
      <c r="AF695" s="1777"/>
      <c r="AG695" s="1777"/>
      <c r="AH695" s="1777"/>
      <c r="AI695" s="1777"/>
      <c r="AJ695" s="1777"/>
      <c r="AK695" s="1777"/>
      <c r="AL695" s="793"/>
      <c r="AM695" s="20"/>
    </row>
    <row r="696" spans="1:43">
      <c r="A696" s="629"/>
      <c r="B696" s="628"/>
      <c r="C696" s="628"/>
      <c r="D696" s="307" t="s">
        <v>457</v>
      </c>
      <c r="E696" s="1765" t="s">
        <v>252</v>
      </c>
      <c r="F696" s="1765"/>
      <c r="G696" s="1765"/>
      <c r="H696" s="1765"/>
      <c r="I696" s="1765"/>
      <c r="J696" s="1765"/>
      <c r="K696" s="1765"/>
      <c r="L696" s="1765"/>
      <c r="M696" s="1765"/>
      <c r="N696" s="1765"/>
      <c r="O696" s="1765"/>
      <c r="P696" s="1765"/>
      <c r="Q696" s="1765"/>
      <c r="R696" s="1765"/>
      <c r="S696" s="1766"/>
      <c r="T696" s="1764">
        <f>AJ47</f>
        <v>3</v>
      </c>
      <c r="U696" s="1764"/>
      <c r="V696" s="1764"/>
      <c r="W696" s="1764"/>
      <c r="X696" s="1764"/>
      <c r="Y696" s="1764"/>
      <c r="Z696" s="1670">
        <v>3</v>
      </c>
      <c r="AA696" s="1670"/>
      <c r="AB696" s="1670"/>
      <c r="AC696" s="1670"/>
      <c r="AD696" s="1670"/>
      <c r="AE696" s="1670"/>
      <c r="AF696" s="1777"/>
      <c r="AG696" s="1777"/>
      <c r="AH696" s="1777"/>
      <c r="AI696" s="1777"/>
      <c r="AJ696" s="1777"/>
      <c r="AK696" s="1777"/>
      <c r="AL696" s="793"/>
      <c r="AM696" s="20"/>
    </row>
    <row r="697" spans="1:43">
      <c r="A697" s="607" t="s">
        <v>8</v>
      </c>
      <c r="B697" s="1762" t="s">
        <v>286</v>
      </c>
      <c r="C697" s="1762"/>
      <c r="D697" s="1762"/>
      <c r="E697" s="1762"/>
      <c r="F697" s="1762"/>
      <c r="G697" s="1762"/>
      <c r="H697" s="1762"/>
      <c r="I697" s="1762"/>
      <c r="J697" s="1762"/>
      <c r="K697" s="1762"/>
      <c r="L697" s="1762"/>
      <c r="M697" s="1762"/>
      <c r="N697" s="1762"/>
      <c r="O697" s="1762"/>
      <c r="P697" s="1762"/>
      <c r="Q697" s="1762"/>
      <c r="R697" s="1762"/>
      <c r="S697" s="1763"/>
      <c r="T697" s="1761">
        <f>AK68</f>
        <v>10</v>
      </c>
      <c r="U697" s="1761"/>
      <c r="V697" s="1761"/>
      <c r="W697" s="1761"/>
      <c r="X697" s="1761"/>
      <c r="Y697" s="1761"/>
      <c r="Z697" s="1185">
        <v>10</v>
      </c>
      <c r="AA697" s="1185"/>
      <c r="AB697" s="1185"/>
      <c r="AC697" s="1185"/>
      <c r="AD697" s="1185"/>
      <c r="AE697" s="1185"/>
      <c r="AF697" s="1185">
        <f>IF(T697&gt;Z697,Z697,T697)</f>
        <v>10</v>
      </c>
      <c r="AG697" s="1185"/>
      <c r="AH697" s="1185"/>
      <c r="AI697" s="1185"/>
      <c r="AJ697" s="1185"/>
      <c r="AK697" s="1185"/>
      <c r="AL697" s="793"/>
      <c r="AM697" s="20"/>
    </row>
    <row r="698" spans="1:43">
      <c r="A698" s="607" t="s">
        <v>127</v>
      </c>
      <c r="B698" s="1762" t="s">
        <v>287</v>
      </c>
      <c r="C698" s="1762"/>
      <c r="D698" s="1762"/>
      <c r="E698" s="1762"/>
      <c r="F698" s="1762"/>
      <c r="G698" s="1762"/>
      <c r="H698" s="1762"/>
      <c r="I698" s="1762"/>
      <c r="J698" s="1762"/>
      <c r="K698" s="1762"/>
      <c r="L698" s="1762"/>
      <c r="M698" s="1762"/>
      <c r="N698" s="1762"/>
      <c r="O698" s="1762"/>
      <c r="P698" s="1762"/>
      <c r="Q698" s="1762"/>
      <c r="R698" s="1762"/>
      <c r="S698" s="1763"/>
      <c r="T698" s="1761">
        <f>AO689</f>
        <v>15</v>
      </c>
      <c r="U698" s="1761">
        <f>IF(AND(AND(A699&gt;15,15+A700),A700&gt;10,A699+10),A698,0)</f>
        <v>0</v>
      </c>
      <c r="V698" s="1761">
        <f>IF(AND(AND(B699&gt;15,15+B700),B700&gt;10,B699+10),#REF!,0)</f>
        <v>0</v>
      </c>
      <c r="W698" s="1761">
        <f>IF(AND(AND(C699&gt;15,15+C700),C700&gt;10,C699+10),B698,0)</f>
        <v>0</v>
      </c>
      <c r="X698" s="1761" t="e">
        <f>IF(AND(AND(D699&gt;15,15+D700),D700&gt;10,D699+10),D698,0)</f>
        <v>#VALUE!</v>
      </c>
      <c r="Y698" s="1761" t="e">
        <f>IF(AND(AND(E699&gt;15,15+E700),E700&gt;10,E699+10),E698,0)</f>
        <v>#VALUE!</v>
      </c>
      <c r="Z698" s="1185">
        <v>25</v>
      </c>
      <c r="AA698" s="1185"/>
      <c r="AB698" s="1185"/>
      <c r="AC698" s="1185"/>
      <c r="AD698" s="1185"/>
      <c r="AE698" s="1185"/>
      <c r="AF698" s="1185">
        <f>IF(T698&gt;Z698,Z698,T698)</f>
        <v>15</v>
      </c>
      <c r="AG698" s="1185"/>
      <c r="AH698" s="1185"/>
      <c r="AI698" s="1185"/>
      <c r="AJ698" s="1185"/>
      <c r="AK698" s="1185"/>
      <c r="AL698" s="793"/>
      <c r="AM698" s="20"/>
    </row>
    <row r="699" spans="1:43" hidden="1">
      <c r="A699" s="607"/>
      <c r="B699" s="628"/>
      <c r="C699" s="628"/>
      <c r="D699" s="307" t="s">
        <v>1534</v>
      </c>
      <c r="E699" s="1765" t="s">
        <v>310</v>
      </c>
      <c r="F699" s="1765"/>
      <c r="G699" s="1765"/>
      <c r="H699" s="1765"/>
      <c r="I699" s="1765"/>
      <c r="J699" s="1765"/>
      <c r="K699" s="1765"/>
      <c r="L699" s="1765"/>
      <c r="M699" s="1765"/>
      <c r="N699" s="1765"/>
      <c r="O699" s="1765"/>
      <c r="P699" s="1765"/>
      <c r="Q699" s="1765"/>
      <c r="R699" s="1765"/>
      <c r="S699" s="1766"/>
      <c r="T699" s="1764">
        <f>AK280</f>
        <v>23</v>
      </c>
      <c r="U699" s="1764"/>
      <c r="V699" s="1764"/>
      <c r="W699" s="1764"/>
      <c r="X699" s="1764"/>
      <c r="Y699" s="1764"/>
      <c r="Z699" s="1670">
        <v>15</v>
      </c>
      <c r="AA699" s="1670"/>
      <c r="AB699" s="1670"/>
      <c r="AC699" s="1670"/>
      <c r="AD699" s="1670"/>
      <c r="AE699" s="1670"/>
      <c r="AF699" s="1777"/>
      <c r="AG699" s="1777"/>
      <c r="AH699" s="1777"/>
      <c r="AI699" s="1777"/>
      <c r="AJ699" s="1777"/>
      <c r="AK699" s="1777"/>
      <c r="AL699" s="793"/>
      <c r="AM699" s="20"/>
    </row>
    <row r="700" spans="1:43">
      <c r="A700" s="630"/>
      <c r="B700" s="90"/>
      <c r="C700" s="90"/>
      <c r="D700" s="631" t="s">
        <v>1535</v>
      </c>
      <c r="E700" s="1765" t="s">
        <v>311</v>
      </c>
      <c r="F700" s="1765"/>
      <c r="G700" s="1765"/>
      <c r="H700" s="1765"/>
      <c r="I700" s="1765"/>
      <c r="J700" s="1765"/>
      <c r="K700" s="1765"/>
      <c r="L700" s="1765"/>
      <c r="M700" s="1765"/>
      <c r="N700" s="1765"/>
      <c r="O700" s="1765"/>
      <c r="P700" s="1765"/>
      <c r="Q700" s="1765"/>
      <c r="R700" s="1765"/>
      <c r="S700" s="1766"/>
      <c r="T700" s="1764">
        <f>AK471</f>
        <v>0</v>
      </c>
      <c r="U700" s="1764"/>
      <c r="V700" s="1764"/>
      <c r="W700" s="1764"/>
      <c r="X700" s="1764"/>
      <c r="Y700" s="1764"/>
      <c r="Z700" s="1670">
        <v>10</v>
      </c>
      <c r="AA700" s="1670"/>
      <c r="AB700" s="1670"/>
      <c r="AC700" s="1670"/>
      <c r="AD700" s="1670"/>
      <c r="AE700" s="1670"/>
      <c r="AF700" s="1777"/>
      <c r="AG700" s="1777"/>
      <c r="AH700" s="1777"/>
      <c r="AI700" s="1777"/>
      <c r="AJ700" s="1777"/>
      <c r="AK700" s="1777"/>
      <c r="AL700" s="793"/>
      <c r="AM700" s="20"/>
    </row>
    <row r="701" spans="1:43">
      <c r="A701" s="607" t="s">
        <v>130</v>
      </c>
      <c r="B701" s="1762" t="s">
        <v>571</v>
      </c>
      <c r="C701" s="1762"/>
      <c r="D701" s="1762"/>
      <c r="E701" s="1762"/>
      <c r="F701" s="1762"/>
      <c r="G701" s="1762"/>
      <c r="H701" s="1762"/>
      <c r="I701" s="1762"/>
      <c r="J701" s="1762"/>
      <c r="K701" s="1762"/>
      <c r="L701" s="1762"/>
      <c r="M701" s="1762"/>
      <c r="N701" s="1762"/>
      <c r="O701" s="1762"/>
      <c r="P701" s="1762"/>
      <c r="Q701" s="1762"/>
      <c r="R701" s="1762"/>
      <c r="S701" s="1763"/>
      <c r="T701" s="1761"/>
      <c r="U701" s="1761"/>
      <c r="V701" s="1761"/>
      <c r="W701" s="1761"/>
      <c r="X701" s="1761"/>
      <c r="Y701" s="1761"/>
      <c r="Z701" s="1185"/>
      <c r="AA701" s="1185"/>
      <c r="AB701" s="1185"/>
      <c r="AC701" s="1185"/>
      <c r="AD701" s="1185"/>
      <c r="AE701" s="1185"/>
      <c r="AF701" s="1185"/>
      <c r="AG701" s="1185"/>
      <c r="AH701" s="1185"/>
      <c r="AI701" s="1185"/>
      <c r="AJ701" s="1185"/>
      <c r="AK701" s="1185"/>
      <c r="AL701" s="793"/>
      <c r="AM701" s="20"/>
    </row>
    <row r="702" spans="1:43">
      <c r="A702" s="607" t="s">
        <v>130</v>
      </c>
      <c r="B702" s="1762" t="s">
        <v>572</v>
      </c>
      <c r="C702" s="1762"/>
      <c r="D702" s="1762"/>
      <c r="E702" s="1762"/>
      <c r="F702" s="1762"/>
      <c r="G702" s="1762"/>
      <c r="H702" s="1762"/>
      <c r="I702" s="1762"/>
      <c r="J702" s="1762"/>
      <c r="K702" s="1762"/>
      <c r="L702" s="1762"/>
      <c r="M702" s="1762"/>
      <c r="N702" s="1762"/>
      <c r="O702" s="1762"/>
      <c r="P702" s="1762"/>
      <c r="Q702" s="1762"/>
      <c r="R702" s="1762"/>
      <c r="S702" s="1763"/>
      <c r="T702" s="1783">
        <f>IF(SUM(T703:Y704)&gt;52,52,SUM(T703:Y704))</f>
        <v>52</v>
      </c>
      <c r="U702" s="1757"/>
      <c r="V702" s="1757"/>
      <c r="W702" s="1757"/>
      <c r="X702" s="1757"/>
      <c r="Y702" s="1757"/>
      <c r="Z702" s="1757">
        <v>52</v>
      </c>
      <c r="AA702" s="1757"/>
      <c r="AB702" s="1757"/>
      <c r="AC702" s="1757"/>
      <c r="AD702" s="1757"/>
      <c r="AE702" s="1757"/>
      <c r="AF702" s="1757">
        <f>$AO$694+$T$704</f>
        <v>52</v>
      </c>
      <c r="AG702" s="1757"/>
      <c r="AH702" s="1757"/>
      <c r="AI702" s="1757"/>
      <c r="AJ702" s="1757"/>
      <c r="AK702" s="1757"/>
      <c r="AL702" s="793"/>
      <c r="AM702" s="20"/>
    </row>
    <row r="703" spans="1:43">
      <c r="A703" s="632"/>
      <c r="B703" s="634"/>
      <c r="C703" s="634"/>
      <c r="D703" s="635" t="s">
        <v>1536</v>
      </c>
      <c r="E703" s="1765" t="s">
        <v>194</v>
      </c>
      <c r="F703" s="1765"/>
      <c r="G703" s="1765"/>
      <c r="H703" s="1765"/>
      <c r="I703" s="1765"/>
      <c r="J703" s="1765"/>
      <c r="K703" s="1765"/>
      <c r="L703" s="1765"/>
      <c r="M703" s="1765"/>
      <c r="N703" s="1765"/>
      <c r="O703" s="1765"/>
      <c r="P703" s="1765"/>
      <c r="Q703" s="1765"/>
      <c r="R703" s="1765"/>
      <c r="S703" s="1766"/>
      <c r="T703" s="1758">
        <f>AC589</f>
        <v>50</v>
      </c>
      <c r="U703" s="1759"/>
      <c r="V703" s="1759"/>
      <c r="W703" s="1759"/>
      <c r="X703" s="1759"/>
      <c r="Y703" s="1760"/>
      <c r="Z703" s="1758">
        <v>50</v>
      </c>
      <c r="AA703" s="1759"/>
      <c r="AB703" s="1759"/>
      <c r="AC703" s="1759"/>
      <c r="AD703" s="1759"/>
      <c r="AE703" s="1760"/>
      <c r="AF703" s="1790"/>
      <c r="AG703" s="1791"/>
      <c r="AH703" s="1791"/>
      <c r="AI703" s="1791"/>
      <c r="AJ703" s="1791"/>
      <c r="AK703" s="1792"/>
      <c r="AL703" s="793"/>
      <c r="AM703" s="4"/>
    </row>
    <row r="704" spans="1:43">
      <c r="A704" s="636"/>
      <c r="B704" s="628"/>
      <c r="C704" s="628"/>
      <c r="D704" s="307" t="s">
        <v>1537</v>
      </c>
      <c r="E704" s="1765" t="s">
        <v>284</v>
      </c>
      <c r="F704" s="1765"/>
      <c r="G704" s="1765"/>
      <c r="H704" s="1765"/>
      <c r="I704" s="1765"/>
      <c r="J704" s="1765"/>
      <c r="K704" s="1765"/>
      <c r="L704" s="1765"/>
      <c r="M704" s="1765"/>
      <c r="N704" s="1765"/>
      <c r="O704" s="1765"/>
      <c r="P704" s="1765"/>
      <c r="Q704" s="1765"/>
      <c r="R704" s="1765"/>
      <c r="S704" s="1766"/>
      <c r="T704" s="1750">
        <f>IF(AJ613&gt;0,2,0)</f>
        <v>2</v>
      </c>
      <c r="U704" s="1751"/>
      <c r="V704" s="1751"/>
      <c r="W704" s="1751"/>
      <c r="X704" s="1751"/>
      <c r="Y704" s="1752"/>
      <c r="Z704" s="1255">
        <v>2</v>
      </c>
      <c r="AA704" s="1256"/>
      <c r="AB704" s="1256"/>
      <c r="AC704" s="1256"/>
      <c r="AD704" s="1256"/>
      <c r="AE704" s="1257"/>
      <c r="AF704" s="1780"/>
      <c r="AG704" s="1781"/>
      <c r="AH704" s="1781"/>
      <c r="AI704" s="1781"/>
      <c r="AJ704" s="1781"/>
      <c r="AK704" s="1782"/>
      <c r="AL704" s="793"/>
      <c r="AM704" s="4"/>
    </row>
    <row r="705" spans="1:39">
      <c r="A705" s="632" t="s">
        <v>131</v>
      </c>
      <c r="B705" s="1762" t="s">
        <v>573</v>
      </c>
      <c r="C705" s="1762"/>
      <c r="D705" s="1762"/>
      <c r="E705" s="1762"/>
      <c r="F705" s="1762"/>
      <c r="G705" s="1762"/>
      <c r="H705" s="1762"/>
      <c r="I705" s="1762"/>
      <c r="J705" s="1762"/>
      <c r="K705" s="1762"/>
      <c r="L705" s="1762"/>
      <c r="M705" s="1762"/>
      <c r="N705" s="1762"/>
      <c r="O705" s="1762"/>
      <c r="P705" s="1762"/>
      <c r="Q705" s="1762"/>
      <c r="R705" s="1762"/>
      <c r="S705" s="1763"/>
      <c r="T705" s="1761">
        <f>AK641</f>
        <v>10</v>
      </c>
      <c r="U705" s="1761"/>
      <c r="V705" s="1761"/>
      <c r="W705" s="1761"/>
      <c r="X705" s="1761"/>
      <c r="Y705" s="1761"/>
      <c r="Z705" s="1185">
        <v>10</v>
      </c>
      <c r="AA705" s="1185"/>
      <c r="AB705" s="1185"/>
      <c r="AC705" s="1185"/>
      <c r="AD705" s="1185"/>
      <c r="AE705" s="1185"/>
      <c r="AF705" s="1329">
        <f>IF(T705&gt;Z705,Z705,T705)</f>
        <v>10</v>
      </c>
      <c r="AG705" s="1330"/>
      <c r="AH705" s="1330"/>
      <c r="AI705" s="1330"/>
      <c r="AJ705" s="1330"/>
      <c r="AK705" s="1331"/>
      <c r="AL705" s="793"/>
      <c r="AM705" s="20"/>
    </row>
    <row r="706" spans="1:39">
      <c r="A706" s="632" t="s">
        <v>133</v>
      </c>
      <c r="B706" s="1762" t="s">
        <v>1028</v>
      </c>
      <c r="C706" s="1762"/>
      <c r="D706" s="1762"/>
      <c r="E706" s="1762"/>
      <c r="F706" s="1762"/>
      <c r="G706" s="1762"/>
      <c r="H706" s="1762"/>
      <c r="I706" s="1762"/>
      <c r="J706" s="1762"/>
      <c r="K706" s="1762"/>
      <c r="L706" s="1762"/>
      <c r="M706" s="1762"/>
      <c r="N706" s="1762"/>
      <c r="O706" s="1762"/>
      <c r="P706" s="1762"/>
      <c r="Q706" s="1762"/>
      <c r="R706" s="1762"/>
      <c r="S706" s="1763"/>
      <c r="T706" s="1784">
        <f>IF(AK684&gt;2,2,AK684)</f>
        <v>2</v>
      </c>
      <c r="U706" s="1785"/>
      <c r="V706" s="1785"/>
      <c r="W706" s="1785"/>
      <c r="X706" s="1785"/>
      <c r="Y706" s="1786"/>
      <c r="Z706" s="1329">
        <v>2</v>
      </c>
      <c r="AA706" s="1330"/>
      <c r="AB706" s="1330"/>
      <c r="AC706" s="1330"/>
      <c r="AD706" s="1330"/>
      <c r="AE706" s="1331"/>
      <c r="AF706" s="1329">
        <f>IF(T706&gt;Z706,Z706,T706)</f>
        <v>2</v>
      </c>
      <c r="AG706" s="1778"/>
      <c r="AH706" s="1778"/>
      <c r="AI706" s="1778"/>
      <c r="AJ706" s="1778"/>
      <c r="AK706" s="1779"/>
      <c r="AL706" s="3"/>
      <c r="AM706" s="20"/>
    </row>
    <row r="707" spans="1:39">
      <c r="A707" s="1867" t="s">
        <v>313</v>
      </c>
      <c r="B707" s="1762"/>
      <c r="C707" s="1762"/>
      <c r="D707" s="1762"/>
      <c r="E707" s="1762"/>
      <c r="F707" s="1762"/>
      <c r="G707" s="1762"/>
      <c r="H707" s="1762"/>
      <c r="I707" s="1762"/>
      <c r="J707" s="1762"/>
      <c r="K707" s="1762"/>
      <c r="L707" s="1762"/>
      <c r="M707" s="1762"/>
      <c r="N707" s="1762"/>
      <c r="O707" s="1762"/>
      <c r="P707" s="1762"/>
      <c r="Q707" s="1762"/>
      <c r="R707" s="1762"/>
      <c r="S707" s="1763"/>
      <c r="T707" s="1343"/>
      <c r="U707" s="1343"/>
      <c r="V707" s="1343"/>
      <c r="W707" s="1343"/>
      <c r="X707" s="1343"/>
      <c r="Y707" s="1343"/>
      <c r="Z707" s="1670" t="s">
        <v>312</v>
      </c>
      <c r="AA707" s="1670"/>
      <c r="AB707" s="1670"/>
      <c r="AC707" s="1670"/>
      <c r="AD707" s="1670"/>
      <c r="AE707" s="1670"/>
      <c r="AF707" s="1329">
        <f>IF(T707&gt;0,T707,0)</f>
        <v>0</v>
      </c>
      <c r="AG707" s="1330"/>
      <c r="AH707" s="1330"/>
      <c r="AI707" s="1330"/>
      <c r="AJ707" s="1330"/>
      <c r="AK707" s="1331"/>
      <c r="AL707" s="18"/>
      <c r="AM707" s="20"/>
    </row>
    <row r="708" spans="1:39" ht="15.75">
      <c r="A708" s="1856" t="s">
        <v>756</v>
      </c>
      <c r="B708" s="1857"/>
      <c r="C708" s="1857"/>
      <c r="D708" s="1857"/>
      <c r="E708" s="1857"/>
      <c r="F708" s="1857"/>
      <c r="G708" s="1857"/>
      <c r="H708" s="1857"/>
      <c r="I708" s="1857"/>
      <c r="J708" s="1857"/>
      <c r="K708" s="1857"/>
      <c r="L708" s="1857"/>
      <c r="M708" s="1857"/>
      <c r="N708" s="1857"/>
      <c r="O708" s="1857"/>
      <c r="P708" s="1857"/>
      <c r="Q708" s="1857"/>
      <c r="R708" s="1857"/>
      <c r="S708" s="1857"/>
      <c r="T708" s="1857"/>
      <c r="U708" s="1857"/>
      <c r="V708" s="1857"/>
      <c r="W708" s="1857"/>
      <c r="X708" s="1857"/>
      <c r="Y708" s="1857"/>
      <c r="Z708" s="1857"/>
      <c r="AA708" s="1857"/>
      <c r="AB708" s="1857"/>
      <c r="AC708" s="1857"/>
      <c r="AD708" s="1857"/>
      <c r="AE708" s="1858"/>
      <c r="AF708" s="1767">
        <f>SUM(AF694:AK706)-AF707</f>
        <v>99</v>
      </c>
      <c r="AG708" s="1768"/>
      <c r="AH708" s="1768"/>
      <c r="AI708" s="1768"/>
      <c r="AJ708" s="1768"/>
      <c r="AK708" s="1769"/>
      <c r="AL708" s="794"/>
      <c r="AM708" s="4"/>
    </row>
    <row r="709" spans="1:39" ht="12.4" customHeight="1">
      <c r="A709" s="1859"/>
      <c r="B709" s="1860"/>
      <c r="C709" s="1860"/>
      <c r="D709" s="1860"/>
      <c r="E709" s="1860"/>
      <c r="F709" s="1860"/>
      <c r="G709" s="1860"/>
      <c r="H709" s="1860"/>
      <c r="I709" s="1860"/>
      <c r="J709" s="1860"/>
      <c r="K709" s="1860"/>
      <c r="L709" s="1860"/>
      <c r="M709" s="1860"/>
      <c r="N709" s="1860"/>
      <c r="O709" s="1860"/>
      <c r="P709" s="1860"/>
      <c r="Q709" s="1860"/>
      <c r="R709" s="1860"/>
      <c r="S709" s="1860"/>
      <c r="T709" s="1860"/>
      <c r="U709" s="1860"/>
      <c r="V709" s="1860"/>
      <c r="W709" s="1860"/>
      <c r="X709" s="1860"/>
      <c r="Y709" s="1860"/>
      <c r="Z709" s="1860"/>
      <c r="AA709" s="1860"/>
      <c r="AB709" s="1860"/>
      <c r="AC709" s="1860"/>
      <c r="AD709" s="1860"/>
      <c r="AE709" s="1861"/>
      <c r="AF709" s="1770"/>
      <c r="AG709" s="1771"/>
      <c r="AH709" s="1771"/>
      <c r="AI709" s="1771"/>
      <c r="AJ709" s="1771"/>
      <c r="AK709" s="1772"/>
      <c r="AL709" s="794"/>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2"/>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2"/>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2"/>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2"/>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2"/>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2"/>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9" priority="1">
      <formula>$H$112="(iv)"</formula>
    </cfRule>
  </conditionalFormatting>
  <conditionalFormatting sqref="T112:Y112">
    <cfRule type="expression" dxfId="8" priority="2">
      <formula>$H$112="(iv)"</formula>
    </cfRule>
  </conditionalFormatting>
  <conditionalFormatting sqref="AP453 AQ454:AQ456 AN454:AN458 W578:W588 AC578:AC590 AJ613 T694:AK694 T695:AE707 AF695:AF708 AG697:AK697 AF698:AK698 AG701:AK701 AG705:AK705 AG707:AL707">
    <cfRule type="expression" dxfId="7" priority="4" stopIfTrue="1">
      <formula>ISERROR(T453)</formula>
    </cfRule>
  </conditionalFormatting>
  <conditionalFormatting sqref="AP473">
    <cfRule type="expression" dxfId="6"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4" customWidth="1"/>
    <col min="11" max="11" width="2.5703125" style="915" customWidth="1"/>
    <col min="12" max="43" width="2.5703125" style="914" customWidth="1"/>
    <col min="44" max="47" width="2.5703125" style="914" hidden="1" customWidth="1"/>
    <col min="48" max="16384" width="9.140625" style="914" hidden="1"/>
  </cols>
  <sheetData>
    <row r="1" spans="1:57" ht="15" customHeight="1">
      <c r="A1" s="1907" t="s">
        <v>2136</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916"/>
      <c r="B3" s="916"/>
      <c r="I3" s="917"/>
      <c r="K3" s="918"/>
    </row>
    <row r="4" spans="1:57" ht="14.25" customHeight="1">
      <c r="A4" s="1896" t="s">
        <v>2137</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916"/>
      <c r="B5" s="916"/>
      <c r="I5" s="917"/>
      <c r="K5" s="918"/>
    </row>
    <row r="6" spans="1:57">
      <c r="A6" s="916"/>
      <c r="B6" s="916"/>
      <c r="D6" s="914" t="s">
        <v>2140</v>
      </c>
      <c r="I6" s="917"/>
      <c r="K6" s="918"/>
      <c r="U6" s="1906"/>
      <c r="V6" s="1906"/>
      <c r="W6" s="1906"/>
      <c r="BC6" s="914" t="s">
        <v>2138</v>
      </c>
    </row>
    <row r="7" spans="1:57">
      <c r="A7" s="916"/>
      <c r="B7" s="916"/>
      <c r="D7" s="514" t="s">
        <v>2141</v>
      </c>
      <c r="I7" s="917"/>
      <c r="K7" s="918"/>
      <c r="BC7" s="914" t="s">
        <v>2139</v>
      </c>
    </row>
    <row r="8" spans="1:57">
      <c r="A8" s="916"/>
      <c r="B8" s="916"/>
      <c r="D8" s="514"/>
      <c r="E8" s="914" t="s">
        <v>2153</v>
      </c>
      <c r="BC8" s="914" t="s">
        <v>2142</v>
      </c>
    </row>
    <row r="9" spans="1:57">
      <c r="A9" s="916"/>
      <c r="B9" s="916"/>
      <c r="E9" s="914" t="s">
        <v>2152</v>
      </c>
      <c r="I9" s="917"/>
      <c r="K9" s="918"/>
      <c r="P9" s="1897"/>
      <c r="Q9" s="1897"/>
      <c r="R9" s="1897"/>
      <c r="S9" s="1897"/>
      <c r="T9" s="1897"/>
    </row>
    <row r="10" spans="1:57">
      <c r="A10" s="916"/>
      <c r="B10" s="916"/>
      <c r="I10" s="917"/>
      <c r="K10" s="918"/>
    </row>
    <row r="11" spans="1:57">
      <c r="A11" s="1896" t="s">
        <v>2143</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914" t="s">
        <v>116</v>
      </c>
    </row>
    <row r="12" spans="1:57">
      <c r="A12" s="916"/>
      <c r="B12" s="916"/>
      <c r="I12" s="917"/>
      <c r="K12" s="918"/>
      <c r="BC12" s="914" t="s">
        <v>511</v>
      </c>
    </row>
    <row r="13" spans="1:57">
      <c r="A13" s="916"/>
      <c r="B13" s="916"/>
      <c r="D13" s="914" t="s">
        <v>2144</v>
      </c>
      <c r="I13" s="917"/>
      <c r="K13" s="918"/>
      <c r="T13" s="1906"/>
      <c r="U13" s="1906"/>
      <c r="V13" s="1906"/>
    </row>
    <row r="14" spans="1:57">
      <c r="A14" s="916"/>
      <c r="B14" s="916"/>
      <c r="E14" s="914" t="s">
        <v>2151</v>
      </c>
      <c r="I14" s="917"/>
      <c r="K14" s="918"/>
      <c r="N14" s="1894"/>
      <c r="O14" s="1894"/>
      <c r="P14" s="1894"/>
      <c r="Q14" s="1894"/>
      <c r="R14" s="1894"/>
      <c r="S14" s="1894"/>
      <c r="T14" s="1894"/>
      <c r="U14" s="1894"/>
      <c r="V14" s="1894"/>
      <c r="W14" s="1894"/>
      <c r="X14" s="1894"/>
      <c r="Y14" s="1894"/>
      <c r="Z14" s="1894"/>
      <c r="AA14" s="1894"/>
      <c r="AB14" s="1894"/>
      <c r="AC14" s="1894"/>
      <c r="AD14" s="1894"/>
      <c r="AE14" s="1894"/>
    </row>
    <row r="15" spans="1:57">
      <c r="A15" s="916"/>
      <c r="B15" s="916"/>
      <c r="E15" s="914" t="s">
        <v>2145</v>
      </c>
      <c r="I15" s="917"/>
      <c r="K15" s="918"/>
      <c r="N15" s="935"/>
      <c r="O15" s="935"/>
      <c r="P15" s="935"/>
      <c r="Q15" s="935"/>
      <c r="R15" s="935"/>
      <c r="S15" s="935"/>
      <c r="T15" s="935"/>
      <c r="U15" s="935"/>
      <c r="V15" s="935"/>
      <c r="W15" s="935"/>
      <c r="X15" s="935"/>
      <c r="Y15" s="935"/>
      <c r="Z15" s="935"/>
      <c r="AA15" s="935"/>
      <c r="AB15" s="935"/>
      <c r="AC15" s="935"/>
      <c r="AD15" s="935"/>
      <c r="AE15" s="935"/>
      <c r="BC15" s="914" t="s">
        <v>2154</v>
      </c>
      <c r="BE15" s="914">
        <f>'Basis &amp; Credits'!AB55</f>
        <v>2500000</v>
      </c>
    </row>
    <row r="16" spans="1:57">
      <c r="A16" s="916"/>
      <c r="B16" s="916"/>
      <c r="BC16" s="914" t="s">
        <v>2155</v>
      </c>
      <c r="BE16" s="914">
        <f>'Basis &amp; Credits'!T11+'Basis &amp; Credits'!AD11</f>
        <v>40898332</v>
      </c>
    </row>
    <row r="17" spans="1:43">
      <c r="A17" s="916"/>
      <c r="B17" s="916"/>
      <c r="D17" s="914" t="s">
        <v>2146</v>
      </c>
      <c r="I17" s="917"/>
      <c r="K17" s="918"/>
      <c r="U17" s="1895" t="str">
        <f>IF(T13="yes",(BE15/BE16)," ")</f>
        <v xml:space="preserve"> </v>
      </c>
      <c r="V17" s="1895"/>
      <c r="W17" s="1895"/>
      <c r="X17" s="1895"/>
      <c r="Y17" s="1895"/>
    </row>
    <row r="18" spans="1:43">
      <c r="A18" s="916"/>
      <c r="B18" s="916"/>
      <c r="I18" s="917"/>
      <c r="K18" s="918"/>
    </row>
    <row r="19" spans="1:43">
      <c r="A19" s="1896" t="s">
        <v>2148</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916"/>
      <c r="D20" s="916"/>
      <c r="K20" s="917"/>
      <c r="M20" s="918"/>
    </row>
    <row r="21" spans="1:43">
      <c r="C21" s="916"/>
      <c r="D21" s="916"/>
      <c r="K21" s="917"/>
      <c r="M21" s="918"/>
    </row>
    <row r="22" spans="1:43">
      <c r="C22" s="919" t="s">
        <v>763</v>
      </c>
      <c r="D22" s="919"/>
      <c r="E22" s="914" t="s">
        <v>2149</v>
      </c>
      <c r="H22" s="920"/>
      <c r="K22" s="914"/>
      <c r="Q22" s="1898">
        <f>ROUND('Basis &amp; Credits'!AB55,0)</f>
        <v>2500000</v>
      </c>
      <c r="R22" s="1898"/>
      <c r="S22" s="1898"/>
      <c r="T22" s="1898"/>
      <c r="U22" s="1898"/>
      <c r="V22" s="1898"/>
      <c r="W22" s="1898"/>
      <c r="X22" s="1898"/>
      <c r="Y22" s="934"/>
    </row>
    <row r="23" spans="1:43">
      <c r="C23" s="916"/>
      <c r="D23" s="916"/>
      <c r="G23" s="921"/>
      <c r="H23" s="921"/>
      <c r="I23" s="922"/>
      <c r="J23" s="922"/>
      <c r="K23" s="921"/>
      <c r="M23" s="915"/>
    </row>
    <row r="24" spans="1:43">
      <c r="C24" s="923"/>
      <c r="D24" s="923"/>
      <c r="E24" s="924"/>
      <c r="J24" s="922"/>
      <c r="K24" s="914"/>
      <c r="L24" s="1905" t="s">
        <v>2126</v>
      </c>
      <c r="M24" s="1905"/>
      <c r="N24" s="1905"/>
      <c r="P24" s="1901" t="s">
        <v>2127</v>
      </c>
      <c r="Q24" s="1901"/>
      <c r="R24" s="1901"/>
      <c r="S24" s="1901"/>
      <c r="T24" s="1901"/>
      <c r="V24" s="1901" t="s">
        <v>2128</v>
      </c>
      <c r="W24" s="1901"/>
      <c r="X24" s="1901"/>
    </row>
    <row r="25" spans="1:43">
      <c r="C25" s="919" t="s">
        <v>201</v>
      </c>
      <c r="D25" s="919"/>
      <c r="E25" s="914" t="s">
        <v>1029</v>
      </c>
      <c r="J25" s="922"/>
      <c r="L25" s="1902" t="s">
        <v>2129</v>
      </c>
      <c r="M25" s="1902"/>
      <c r="N25" s="1902"/>
      <c r="P25" s="1902" t="s">
        <v>2130</v>
      </c>
      <c r="Q25" s="1902"/>
      <c r="R25" s="1902"/>
      <c r="S25" s="1902"/>
      <c r="T25" s="1902"/>
      <c r="V25" s="1902" t="s">
        <v>2129</v>
      </c>
      <c r="W25" s="1902"/>
      <c r="X25" s="1902"/>
    </row>
    <row r="26" spans="1:43">
      <c r="C26" s="916"/>
      <c r="D26" s="916"/>
      <c r="E26" s="925" t="s">
        <v>2131</v>
      </c>
      <c r="F26" s="925"/>
      <c r="J26" s="926"/>
      <c r="L26" s="1899">
        <f>Application!BN613</f>
        <v>2</v>
      </c>
      <c r="M26" s="1899"/>
      <c r="N26" s="1899"/>
      <c r="P26" s="1903">
        <v>0.9</v>
      </c>
      <c r="Q26" s="1903"/>
      <c r="R26" s="1903"/>
      <c r="S26" s="1903"/>
      <c r="T26" s="1903"/>
      <c r="V26" s="1903">
        <f>L26*P26</f>
        <v>1.8</v>
      </c>
      <c r="W26" s="1903"/>
      <c r="X26" s="1903"/>
    </row>
    <row r="27" spans="1:43">
      <c r="C27" s="916"/>
      <c r="D27" s="916"/>
      <c r="E27" s="914" t="s">
        <v>2132</v>
      </c>
      <c r="J27" s="926"/>
      <c r="L27" s="1908">
        <f>Application!BS613</f>
        <v>16</v>
      </c>
      <c r="M27" s="1908">
        <f>Application!BS621+Application!BS630+Application!CX644</f>
        <v>0</v>
      </c>
      <c r="N27" s="1908"/>
      <c r="P27" s="1904">
        <v>1</v>
      </c>
      <c r="Q27" s="1904"/>
      <c r="R27" s="1904"/>
      <c r="S27" s="1904"/>
      <c r="T27" s="1904"/>
      <c r="V27" s="1904">
        <f>L27*P27</f>
        <v>16</v>
      </c>
      <c r="W27" s="1904"/>
      <c r="X27" s="1904"/>
    </row>
    <row r="28" spans="1:43">
      <c r="C28" s="916"/>
      <c r="D28" s="916"/>
      <c r="E28" s="914" t="s">
        <v>2133</v>
      </c>
      <c r="J28" s="926"/>
      <c r="L28" s="1908">
        <f>Application!BX613</f>
        <v>53</v>
      </c>
      <c r="M28" s="1908">
        <f>Application!BX621+Application!BX630+Application!DC644</f>
        <v>0</v>
      </c>
      <c r="N28" s="1908"/>
      <c r="P28" s="1904">
        <v>1.25</v>
      </c>
      <c r="Q28" s="1904"/>
      <c r="R28" s="1904"/>
      <c r="S28" s="1904"/>
      <c r="T28" s="1904"/>
      <c r="V28" s="1904">
        <f>L28*P28</f>
        <v>66.25</v>
      </c>
      <c r="W28" s="1904"/>
      <c r="X28" s="1904"/>
    </row>
    <row r="29" spans="1:43">
      <c r="C29" s="916"/>
      <c r="D29" s="916"/>
      <c r="E29" s="914" t="s">
        <v>2134</v>
      </c>
      <c r="J29" s="926"/>
      <c r="L29" s="1908">
        <f>Application!CC613</f>
        <v>2</v>
      </c>
      <c r="M29" s="1908">
        <f>Application!CC621+Application!CC630+Application!DH644</f>
        <v>0</v>
      </c>
      <c r="N29" s="1908"/>
      <c r="P29" s="1904">
        <v>1.5</v>
      </c>
      <c r="Q29" s="1904"/>
      <c r="R29" s="1904"/>
      <c r="S29" s="1904"/>
      <c r="T29" s="1904"/>
      <c r="V29" s="1904">
        <f>L29*P29</f>
        <v>3</v>
      </c>
      <c r="W29" s="1904"/>
      <c r="X29" s="1904"/>
    </row>
    <row r="30" spans="1:43">
      <c r="C30" s="916"/>
      <c r="D30" s="916"/>
      <c r="E30" s="914" t="s">
        <v>2135</v>
      </c>
      <c r="J30" s="926"/>
      <c r="L30" s="1909">
        <f>Application!CH613+Application!CM613</f>
        <v>0</v>
      </c>
      <c r="M30" s="1909"/>
      <c r="N30" s="1909"/>
      <c r="P30" s="1904">
        <v>1.75</v>
      </c>
      <c r="Q30" s="1904"/>
      <c r="R30" s="1904">
        <f>1.75+0.25*0</f>
        <v>1.75</v>
      </c>
      <c r="S30" s="1904"/>
      <c r="T30" s="1904"/>
      <c r="V30" s="1913">
        <f>L30*P30</f>
        <v>0</v>
      </c>
      <c r="W30" s="1913"/>
      <c r="X30" s="1913"/>
    </row>
    <row r="31" spans="1:43">
      <c r="C31" s="916"/>
      <c r="D31" s="916"/>
      <c r="L31" s="1899">
        <f>SUM(L26:N30)</f>
        <v>73</v>
      </c>
      <c r="M31" s="1900"/>
      <c r="N31" s="1900"/>
      <c r="V31" s="1903">
        <f>SUM(V26:X30)</f>
        <v>87.05</v>
      </c>
      <c r="W31" s="1903"/>
      <c r="X31" s="1903"/>
    </row>
    <row r="32" spans="1:43">
      <c r="C32" s="916"/>
      <c r="D32" s="916"/>
      <c r="K32" s="927"/>
    </row>
    <row r="33" spans="1:27">
      <c r="C33" s="919" t="s">
        <v>202</v>
      </c>
      <c r="D33" s="919"/>
      <c r="E33" s="916" t="s">
        <v>2150</v>
      </c>
      <c r="H33" s="928"/>
      <c r="I33" s="929"/>
      <c r="J33" s="930"/>
      <c r="K33" s="927"/>
      <c r="M33" s="915"/>
      <c r="V33" s="1910">
        <f>IF(V31&gt;0,V31/Q22," ")</f>
        <v>3.4820000000000002E-5</v>
      </c>
      <c r="W33" s="1911"/>
      <c r="X33" s="1911"/>
      <c r="Y33" s="1911"/>
      <c r="Z33" s="1911"/>
      <c r="AA33" s="1912"/>
    </row>
    <row r="34" spans="1:27">
      <c r="K34" s="914"/>
      <c r="M34" s="915"/>
    </row>
    <row r="35" spans="1:27">
      <c r="E35" s="916" t="s">
        <v>2156</v>
      </c>
      <c r="F35" s="916"/>
      <c r="G35" s="916"/>
      <c r="H35" s="916"/>
      <c r="I35" s="916"/>
      <c r="J35" s="916"/>
      <c r="K35" s="916"/>
      <c r="L35" s="916"/>
      <c r="M35" s="936"/>
      <c r="N35" s="916"/>
      <c r="O35" s="916"/>
      <c r="P35" s="916"/>
      <c r="Q35" s="916"/>
      <c r="R35" s="916"/>
      <c r="V35" s="1891">
        <f>IF(V31&gt;0,1/V33," ")</f>
        <v>28719.126938541067</v>
      </c>
      <c r="W35" s="1892"/>
      <c r="X35" s="1892"/>
      <c r="Y35" s="1892"/>
      <c r="Z35" s="1892"/>
      <c r="AA35" s="1893"/>
    </row>
    <row r="36" spans="1:27" ht="12.75" customHeight="1">
      <c r="B36" s="931"/>
      <c r="C36" s="931"/>
      <c r="D36" s="931"/>
      <c r="E36" s="931"/>
      <c r="F36" s="931"/>
      <c r="G36" s="931"/>
      <c r="H36" s="931"/>
      <c r="I36" s="931"/>
    </row>
    <row r="37" spans="1:27">
      <c r="A37" s="931"/>
      <c r="B37" s="931"/>
      <c r="C37" s="931"/>
      <c r="D37" s="931"/>
      <c r="E37" s="931"/>
      <c r="F37" s="931"/>
      <c r="G37" s="931"/>
      <c r="H37" s="931"/>
      <c r="I37" s="931"/>
    </row>
    <row r="38" spans="1:27">
      <c r="A38" s="931"/>
      <c r="B38" s="931"/>
      <c r="C38" s="931"/>
      <c r="D38" s="931"/>
      <c r="E38" s="931"/>
      <c r="F38" s="931"/>
      <c r="G38" s="931"/>
      <c r="H38" s="931"/>
      <c r="I38" s="931"/>
    </row>
    <row r="39" spans="1:27">
      <c r="A39" s="931"/>
      <c r="B39" s="931"/>
      <c r="C39" s="931"/>
      <c r="D39" s="931"/>
      <c r="E39" s="931"/>
      <c r="F39" s="931"/>
      <c r="G39" s="931"/>
      <c r="H39" s="931"/>
      <c r="I39" s="93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5" priority="1">
      <formula>$U$17=" "</formula>
    </cfRule>
    <cfRule type="expression" dxfId="4"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2021-01-13T01:22:16Z</cp:lastPrinted>
  <dcterms:created xsi:type="dcterms:W3CDTF">2007-12-27T18:26:28Z</dcterms:created>
  <dcterms:modified xsi:type="dcterms:W3CDTF">2023-04-25T21:21:13Z</dcterms:modified>
</cp:coreProperties>
</file>